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qtrsspt-my.sharepoint.com/personal/nicolas_boivin_uqtr_ca/Documents/Portail des fiscalistes/Le pédagogique/CTB1018/ProblemesEnClasse/"/>
    </mc:Choice>
  </mc:AlternateContent>
  <xr:revisionPtr revIDLastSave="66" documentId="13_ncr:1_{70E5FDE5-6155-4C41-828D-B2FD7AAC6916}" xr6:coauthVersionLast="47" xr6:coauthVersionMax="47" xr10:uidLastSave="{9465352C-83EA-4999-9712-CA1285F1EC6E}"/>
  <bookViews>
    <workbookView xWindow="-120" yWindow="-120" windowWidth="38640" windowHeight="21120" xr2:uid="{DA7F9928-7A24-4E46-B111-2757DFA9972D}"/>
  </bookViews>
  <sheets>
    <sheet name="Solution" sheetId="3" r:id="rId1"/>
    <sheet name="En classe" sheetId="4" r:id="rId2"/>
    <sheet name="Solution-H2019" sheetId="2" state="hidden" r:id="rId3"/>
  </sheets>
  <definedNames>
    <definedName name="_xlnm.Print_Titles" localSheetId="1">'En classe'!$7:$7</definedName>
    <definedName name="_xlnm.Print_Titles" localSheetId="0">Solution!$7:$7</definedName>
    <definedName name="_xlnm.Print_Area" localSheetId="1">'En classe'!$A$1:$I$201</definedName>
    <definedName name="_xlnm.Print_Area" localSheetId="0">Solution!$A$1:$I$200</definedName>
    <definedName name="_xlnm.Print_Area" localSheetId="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3" l="1"/>
  <c r="E106" i="3"/>
  <c r="G187" i="3"/>
  <c r="G143" i="3"/>
  <c r="A155" i="3"/>
  <c r="A154" i="3"/>
  <c r="G30" i="3"/>
  <c r="E103" i="3"/>
  <c r="M51" i="3"/>
  <c r="L54" i="3"/>
  <c r="L53" i="3"/>
  <c r="G135" i="3" l="1"/>
  <c r="G22" i="3"/>
  <c r="G23" i="3"/>
  <c r="F12" i="3"/>
  <c r="F13" i="3"/>
  <c r="F17" i="3"/>
  <c r="F49" i="3" s="1"/>
  <c r="E103" i="4"/>
  <c r="G103" i="4"/>
  <c r="E106" i="4"/>
  <c r="G106" i="4"/>
  <c r="G107" i="4"/>
  <c r="F54" i="4"/>
  <c r="G54" i="4"/>
  <c r="G99" i="3"/>
  <c r="F21" i="3"/>
  <c r="G103" i="3" s="1"/>
  <c r="G196" i="4"/>
  <c r="E198" i="4"/>
  <c r="G198" i="4"/>
  <c r="E200" i="4"/>
  <c r="G200" i="4"/>
  <c r="G201" i="4"/>
  <c r="F13" i="4"/>
  <c r="F14" i="4"/>
  <c r="F17" i="4"/>
  <c r="F21" i="4"/>
  <c r="G29" i="4"/>
  <c r="G30" i="4"/>
  <c r="G31" i="4"/>
  <c r="G35" i="4"/>
  <c r="F38" i="4"/>
  <c r="G38" i="4"/>
  <c r="F41" i="4"/>
  <c r="G41" i="4"/>
  <c r="F43" i="4"/>
  <c r="G43" i="4"/>
  <c r="F47" i="4"/>
  <c r="G47" i="4"/>
  <c r="F49" i="4"/>
  <c r="G49" i="4"/>
  <c r="G99" i="4"/>
  <c r="F60" i="4"/>
  <c r="G60" i="4"/>
  <c r="F61" i="4"/>
  <c r="G61" i="4"/>
  <c r="F62" i="4"/>
  <c r="G62" i="4"/>
  <c r="F63" i="4"/>
  <c r="G63" i="4"/>
  <c r="G64" i="4"/>
  <c r="E30" i="4"/>
  <c r="E31" i="4"/>
  <c r="E32" i="4"/>
  <c r="E33" i="4"/>
  <c r="E34" i="4"/>
  <c r="E35" i="4"/>
  <c r="F35" i="4"/>
  <c r="F57" i="4"/>
  <c r="F58" i="4"/>
  <c r="F64" i="4"/>
  <c r="G84" i="4"/>
  <c r="G188" i="4"/>
  <c r="F131" i="4"/>
  <c r="F135" i="4"/>
  <c r="E144" i="4"/>
  <c r="E145" i="4"/>
  <c r="E146" i="4"/>
  <c r="E147" i="4"/>
  <c r="L145" i="4"/>
  <c r="E148" i="4"/>
  <c r="E149" i="4"/>
  <c r="F149" i="4"/>
  <c r="F152" i="4"/>
  <c r="F155" i="4"/>
  <c r="F157" i="4"/>
  <c r="L147" i="4"/>
  <c r="F163" i="4"/>
  <c r="L148" i="4"/>
  <c r="F164" i="4"/>
  <c r="L149" i="4"/>
  <c r="F165" i="4"/>
  <c r="L150" i="4"/>
  <c r="F166" i="4"/>
  <c r="F167" i="4"/>
  <c r="F168" i="4"/>
  <c r="G143" i="4"/>
  <c r="L144" i="4"/>
  <c r="G144" i="4"/>
  <c r="G145" i="4"/>
  <c r="G149" i="4"/>
  <c r="G152" i="4"/>
  <c r="G155" i="4"/>
  <c r="G157" i="4"/>
  <c r="G163" i="4"/>
  <c r="G164" i="4"/>
  <c r="G165" i="4"/>
  <c r="G166" i="4"/>
  <c r="G167" i="4"/>
  <c r="F170" i="4"/>
  <c r="G189" i="4"/>
  <c r="G190" i="4"/>
  <c r="H185" i="4"/>
  <c r="F171" i="4"/>
  <c r="F175" i="4"/>
  <c r="F178" i="4"/>
  <c r="F180" i="4"/>
  <c r="F185" i="4"/>
  <c r="H180" i="4"/>
  <c r="L156" i="4"/>
  <c r="L155" i="4"/>
  <c r="L154" i="4"/>
  <c r="L152" i="4"/>
  <c r="L151" i="4"/>
  <c r="A148" i="4"/>
  <c r="A147" i="4"/>
  <c r="L146" i="4"/>
  <c r="A146" i="4"/>
  <c r="A145" i="4"/>
  <c r="A144" i="4"/>
  <c r="L143" i="4"/>
  <c r="L142" i="4"/>
  <c r="G113" i="4"/>
  <c r="E115" i="4"/>
  <c r="G115" i="4"/>
  <c r="E117" i="4"/>
  <c r="G117" i="4"/>
  <c r="G118" i="4"/>
  <c r="H81" i="4"/>
  <c r="G65" i="4"/>
  <c r="G68" i="4"/>
  <c r="G71" i="4"/>
  <c r="G76" i="4"/>
  <c r="G81" i="4"/>
  <c r="H76" i="4"/>
  <c r="F130" i="3"/>
  <c r="F134" i="3" s="1"/>
  <c r="L143" i="3"/>
  <c r="F151" i="3"/>
  <c r="G151" i="3"/>
  <c r="F154" i="3"/>
  <c r="G154" i="3" s="1"/>
  <c r="L146" i="3"/>
  <c r="F162" i="3" s="1"/>
  <c r="G162" i="3" s="1"/>
  <c r="L147" i="3"/>
  <c r="F163" i="3"/>
  <c r="G163" i="3"/>
  <c r="L148" i="3"/>
  <c r="F164" i="3" s="1"/>
  <c r="G164" i="3" s="1"/>
  <c r="L149" i="3"/>
  <c r="F165" i="3"/>
  <c r="G165" i="3" s="1"/>
  <c r="L144" i="3"/>
  <c r="A147" i="3"/>
  <c r="A146" i="3"/>
  <c r="A145" i="3"/>
  <c r="A144" i="3"/>
  <c r="A143" i="3"/>
  <c r="L154" i="3"/>
  <c r="L153" i="3"/>
  <c r="L152" i="3"/>
  <c r="L151" i="3"/>
  <c r="L150" i="3"/>
  <c r="L145" i="3"/>
  <c r="L142" i="3"/>
  <c r="L141" i="3"/>
  <c r="F63" i="3"/>
  <c r="G63" i="3" s="1"/>
  <c r="F62" i="3"/>
  <c r="G62" i="3"/>
  <c r="F61" i="3"/>
  <c r="G61" i="3"/>
  <c r="F60" i="3"/>
  <c r="G60" i="3" s="1"/>
  <c r="G49" i="3"/>
  <c r="F47" i="3"/>
  <c r="G47" i="3"/>
  <c r="F43" i="3"/>
  <c r="G43" i="3"/>
  <c r="F38" i="3"/>
  <c r="G38" i="3" s="1"/>
  <c r="F41" i="3"/>
  <c r="G41" i="3"/>
  <c r="G24" i="3"/>
  <c r="F57" i="3"/>
  <c r="F58" i="3"/>
  <c r="G195" i="3"/>
  <c r="E197" i="3"/>
  <c r="G197" i="3"/>
  <c r="E199" i="3"/>
  <c r="G199" i="3"/>
  <c r="G200" i="3"/>
  <c r="F177" i="3"/>
  <c r="H184" i="3"/>
  <c r="H179" i="3"/>
  <c r="H81" i="3"/>
  <c r="H76" i="3"/>
  <c r="G71" i="3"/>
  <c r="G113" i="3"/>
  <c r="E115" i="3"/>
  <c r="G115" i="3"/>
  <c r="E117" i="3"/>
  <c r="G117" i="3"/>
  <c r="G118" i="3"/>
  <c r="F44" i="2"/>
  <c r="E45" i="2"/>
  <c r="E46" i="2"/>
  <c r="E33" i="2"/>
  <c r="E14" i="2"/>
  <c r="F17" i="2"/>
  <c r="F21" i="2"/>
  <c r="F23" i="2"/>
  <c r="E143" i="3" l="1"/>
  <c r="G134" i="3"/>
  <c r="G138" i="3" s="1"/>
  <c r="G142" i="3" s="1"/>
  <c r="G144" i="3" s="1"/>
  <c r="G148" i="3" s="1"/>
  <c r="E147" i="3"/>
  <c r="E146" i="3"/>
  <c r="E145" i="3"/>
  <c r="E144" i="3"/>
  <c r="E34" i="3"/>
  <c r="E33" i="3"/>
  <c r="E30" i="3"/>
  <c r="E35" i="3" s="1"/>
  <c r="F35" i="3" s="1"/>
  <c r="G156" i="3"/>
  <c r="G21" i="3"/>
  <c r="G25" i="3" s="1"/>
  <c r="G29" i="3" s="1"/>
  <c r="G31" i="3" s="1"/>
  <c r="G35" i="3" s="1"/>
  <c r="E32" i="3"/>
  <c r="E31" i="3"/>
  <c r="G106" i="3"/>
  <c r="G107" i="3" s="1"/>
  <c r="F54" i="3" s="1"/>
  <c r="G166" i="3" l="1"/>
  <c r="F169" i="3" s="1"/>
  <c r="G188" i="3" s="1"/>
  <c r="E148" i="3"/>
  <c r="F148" i="3" s="1"/>
  <c r="F166" i="3" s="1"/>
  <c r="F167" i="3" s="1"/>
  <c r="G54" i="3"/>
  <c r="G64" i="3" s="1"/>
  <c r="F64" i="3"/>
  <c r="F170" i="3" l="1"/>
  <c r="F174" i="3" s="1"/>
  <c r="F179" i="3" s="1"/>
  <c r="F184" i="3" s="1"/>
  <c r="G84" i="3"/>
  <c r="G189" i="3" s="1"/>
  <c r="G65" i="3"/>
  <c r="G68" i="3" s="1"/>
  <c r="G76" i="3" s="1"/>
  <c r="G81" i="3" s="1"/>
</calcChain>
</file>

<file path=xl/sharedStrings.xml><?xml version="1.0" encoding="utf-8"?>
<sst xmlns="http://schemas.openxmlformats.org/spreadsheetml/2006/main" count="430" uniqueCount="194">
  <si>
    <t>Provision pour impôts</t>
  </si>
  <si>
    <t>Contribution politique</t>
  </si>
  <si>
    <t>Revenu d'intérêt (revenu de biens)</t>
  </si>
  <si>
    <t>Allocation totale payée</t>
  </si>
  <si>
    <t>Allocation excédentaire non déductible</t>
  </si>
  <si>
    <t>Frais de repas - 50 % non déductible</t>
  </si>
  <si>
    <t>Frais payés d'avance (note 1)</t>
  </si>
  <si>
    <t>5 029 $ x 9 mois / 12 mois =</t>
  </si>
  <si>
    <t>Allocation payée pour automobile (note 3)</t>
  </si>
  <si>
    <t>Frais personnel - déneigement (note 4)</t>
  </si>
  <si>
    <t>En plus de voir la dépense non déductible du revenu d'entreprise pour la société,</t>
  </si>
  <si>
    <t xml:space="preserve">l'actionnaire devrait inclure ce montant à son revenu à titre </t>
  </si>
  <si>
    <t>Plus (+)</t>
  </si>
  <si>
    <t>Moins (-)</t>
  </si>
  <si>
    <t>Bénéfice comptable établi selon les règles comptables en vigueur</t>
  </si>
  <si>
    <t>Revenu d'entreprise (fiscal)</t>
  </si>
  <si>
    <t>Conciliation du bénéfice comptable et du revenu d’entreprise (fiscal)</t>
  </si>
  <si>
    <t>Calcul du revenu de biens (hors conciliation)</t>
  </si>
  <si>
    <t>Note 1</t>
  </si>
  <si>
    <t>Note 2</t>
  </si>
  <si>
    <t>Note 3</t>
  </si>
  <si>
    <t>Note 4</t>
  </si>
  <si>
    <t>Portion du déboursé qui est payé d'avance (non déductible)</t>
  </si>
  <si>
    <t>La provision n'est pas raisonnable et conséquemment n'est pas déductible si elle est déterminée autrement que par une analyse compte par compte.</t>
  </si>
  <si>
    <t>moins: Allocation maximale déductible :</t>
  </si>
  <si>
    <t xml:space="preserve">L'allocation payée pour l'usage des automobiles des employés dépasse le montant maximim </t>
  </si>
  <si>
    <t>déductible prescrit par la Loi.  La portion excédentaire devient donc non déductible.</t>
  </si>
  <si>
    <t>portion déd.</t>
  </si>
  <si>
    <t>portion non déd.</t>
  </si>
  <si>
    <t>Provision pour marchandises / services non livrés</t>
  </si>
  <si>
    <t>Provision pour baisse de valeur du placement (non déd.)</t>
  </si>
  <si>
    <t>Cotisations à des clubs de loisirs - golf (non déductible)</t>
  </si>
  <si>
    <t>Perte sur disposition de placement (non déductible)</t>
  </si>
  <si>
    <t xml:space="preserve">Revenu de biens </t>
  </si>
  <si>
    <t>(pas de majoration des dividendes reçus pour une société)</t>
  </si>
  <si>
    <t>Provision pour mauvaises créances refusée (note 2)</t>
  </si>
  <si>
    <t>Dépenses en capital (non déductible)</t>
  </si>
  <si>
    <t>Déduction pour amortissement (DPA) permise</t>
  </si>
  <si>
    <t>Provision pour amortissement comptable (non déductible)</t>
  </si>
  <si>
    <t>d'avantage conféré à l'actionnaire.</t>
  </si>
  <si>
    <t>allocation totale</t>
  </si>
  <si>
    <t>1 863 $ / 0,75 $ payé par KM = 2 484 KM parcourus</t>
  </si>
  <si>
    <t>(n=12)</t>
  </si>
  <si>
    <t>(n=3)</t>
  </si>
  <si>
    <t>0,58 $ / KM (max. déductible) x 2 484 KM parcourus =</t>
  </si>
  <si>
    <t>Salaire reçu dans l'année</t>
  </si>
  <si>
    <t>Calcul du REVENU, du REVENU IMPOSABLE et du SOLDE DÛ (ou remboursement)</t>
  </si>
  <si>
    <t>Fin tranche 1</t>
  </si>
  <si>
    <t>Fin tranche 2</t>
  </si>
  <si>
    <t>Fin tranche 3</t>
  </si>
  <si>
    <t>Fin tranche 4</t>
  </si>
  <si>
    <t>Pers.de base</t>
  </si>
  <si>
    <t>RRQ max</t>
  </si>
  <si>
    <t>RQAP max</t>
  </si>
  <si>
    <t>AE max</t>
  </si>
  <si>
    <t>Emploi</t>
  </si>
  <si>
    <t>Médicaux seuil</t>
  </si>
  <si>
    <t>Âgées</t>
  </si>
  <si>
    <t>Âgées seuil</t>
  </si>
  <si>
    <t>Aidant naturel</t>
  </si>
  <si>
    <t>Revenu de dividendes (majoré de 38 %)</t>
  </si>
  <si>
    <t>REVENU</t>
  </si>
  <si>
    <t>Handicapé</t>
  </si>
  <si>
    <t>Calcul du REVENU</t>
  </si>
  <si>
    <t>Calcul du REVENU IMPOSABLE</t>
  </si>
  <si>
    <t>Calcul du SOLDE DÛ (ou remboursement)</t>
  </si>
  <si>
    <t>SOLDE DÛ (ou remboursement)</t>
  </si>
  <si>
    <t>Crédits d'impôt personnels</t>
  </si>
  <si>
    <t>Personnel de base</t>
  </si>
  <si>
    <t>Frais de scolarité</t>
  </si>
  <si>
    <t>Frais médicaux</t>
  </si>
  <si>
    <t>Dividendes</t>
  </si>
  <si>
    <t>Cotisations à la RRQ, au RQAP et à l'assurance emploi (AE)</t>
  </si>
  <si>
    <t>Canadien pour emploi</t>
  </si>
  <si>
    <t>Revenu de dividendes (majoré de 15 %)</t>
  </si>
  <si>
    <t>RRQ =</t>
  </si>
  <si>
    <t>RQAP =</t>
  </si>
  <si>
    <t>AE =</t>
  </si>
  <si>
    <t>Abattement d’impôt du Québec</t>
  </si>
  <si>
    <t>Autres crédits d’impôt</t>
  </si>
  <si>
    <t>Retenues d’impôt effectuées</t>
  </si>
  <si>
    <t>Versées au Gouvernement du Canada </t>
  </si>
  <si>
    <t>Impôt payable</t>
  </si>
  <si>
    <t>Impôt fédéral de base (IFB)</t>
  </si>
  <si>
    <t>Pour l'enseignant (mise à jour automatique)</t>
  </si>
  <si>
    <t>Semaine 12 - Solution</t>
  </si>
  <si>
    <t>Calcul de l'IMR</t>
  </si>
  <si>
    <t>Déduction pour gains en capital (DGC) déduite</t>
  </si>
  <si>
    <t>Revenu imposable</t>
  </si>
  <si>
    <t>Calcul de l'impôt "standard"</t>
  </si>
  <si>
    <t>Année d'imposition 20XX</t>
  </si>
  <si>
    <t>Cotisations payées par l’employé à un RPA</t>
  </si>
  <si>
    <t>RIM</t>
  </si>
  <si>
    <t>Équivalent pour personne entièrement à charge</t>
  </si>
  <si>
    <t>Il est préférable de choisir François puisque son revenu est nul.</t>
  </si>
  <si>
    <t>Intérêts sur les prêts aux étudiants</t>
  </si>
  <si>
    <t>Dons</t>
  </si>
  <si>
    <t>Contributions politiques</t>
  </si>
  <si>
    <t>Canadien pour la formation (remboursable)</t>
  </si>
  <si>
    <t>15 % x 165 $</t>
  </si>
  <si>
    <t>Autre que déterminé: 69 000 $ x 9 % =</t>
  </si>
  <si>
    <t>Total des dons effectués  =</t>
  </si>
  <si>
    <t>- Premiers 200 $ de dons</t>
  </si>
  <si>
    <t>- Dons équivalent au moindre de:</t>
  </si>
  <si>
    <t>- Dons non visés par les taux de 15 % et 33 % (le résiduel)</t>
  </si>
  <si>
    <t>Total =</t>
  </si>
  <si>
    <t xml:space="preserve">    &gt; 6 000 $ - 200 $ = 5 800 $</t>
  </si>
  <si>
    <t>Taux du crédit</t>
  </si>
  <si>
    <t>(-) Majoration des dividendes (69 000 $ + 48 300 $) - (60 000 $ + 35 000 $)</t>
  </si>
  <si>
    <t>Déterminé: 48 300 $ x 15 % =</t>
  </si>
  <si>
    <t>Moindre de (50 % x 1 200 $ et 1 000 $)</t>
  </si>
  <si>
    <t>Solde cumulatif du compte théorique = 1 000 $</t>
  </si>
  <si>
    <t>15 % x (1 200 $ (-) 600 $)</t>
  </si>
  <si>
    <t xml:space="preserve">Les frais de scolarité admissibles sont réduits d’un montant équivalent </t>
  </si>
  <si>
    <t>au montant du crédit canadien pour la formation (remboursable).</t>
  </si>
  <si>
    <t>- Premiers 400 $ de contributions</t>
  </si>
  <si>
    <t>- Contributions entre 401 $ et 750 $</t>
  </si>
  <si>
    <t>- Contributions entre 751 $ et 1 000 $</t>
  </si>
  <si>
    <t>Voir note 1 plus bas.</t>
  </si>
  <si>
    <t>Voir note 2 plus bas.</t>
  </si>
  <si>
    <t>REVENU IMPOSABLE (RI)</t>
  </si>
  <si>
    <t>Taux d'imposition en vigueur (applicables sur le RI)</t>
  </si>
  <si>
    <t>Le plus élevé des 2 =</t>
  </si>
  <si>
    <t>Calcul du rev. imposable modifié (RIM)</t>
  </si>
  <si>
    <t>Impôt minimum de remplacement (IMR)</t>
  </si>
  <si>
    <t>Calcul de l'impôt minimum de remplacement (IMR)</t>
  </si>
  <si>
    <t>Année d'imposition 20YY
(hypothèse que les différents paramètres d'impôt en vigueur en 20YY sont les mêmes qu'en 20XX)</t>
  </si>
  <si>
    <t>Aucune</t>
  </si>
  <si>
    <t>(-) Majoration des dividendes</t>
  </si>
  <si>
    <t>Note 3 - Calcul du crédit pour contributions politiques</t>
  </si>
  <si>
    <t>Voir note 3 plus bas.</t>
  </si>
  <si>
    <t>Remboursement de l'IMR payé
dans les années antérieures =</t>
  </si>
  <si>
    <t>Seuil minimum d'impôt à respecter
compte tenu de l'IMR de l'année 20YY</t>
  </si>
  <si>
    <t>IMR payé en 20XX =</t>
  </si>
  <si>
    <t>IMR remboursable sur 6 ans</t>
  </si>
  <si>
    <t>IMR remboursable sur 6 ans =</t>
  </si>
  <si>
    <t>16,5 % x Impôt fédéral de base (ou de l'IMR)</t>
  </si>
  <si>
    <t>IMR remboursable sur 7 ans</t>
  </si>
  <si>
    <t>Total des contributions politiques fédérales effectuées  =</t>
  </si>
  <si>
    <t>(-) Portion remboursée en 20YY =</t>
  </si>
  <si>
    <t>Frais remboursés par une assurance = -540 $</t>
  </si>
  <si>
    <t>Frais médicaux payés = +1 450 $</t>
  </si>
  <si>
    <t>Cotisations au régime d’assurance maladie de l’employeur = +1 900 $</t>
  </si>
  <si>
    <t>55 867 $ et moins:</t>
  </si>
  <si>
    <t>Entre 55 868 $ et 111 733 $:</t>
  </si>
  <si>
    <t>Entre 111 734 $ et 173 205 $:</t>
  </si>
  <si>
    <t>Entre 173 206 $ et 246 752 $:</t>
  </si>
  <si>
    <t>246 753 $ et plus:</t>
  </si>
  <si>
    <t>Revenu imposable (RI)</t>
  </si>
  <si>
    <t>Gain en capital imposable (960 000 $ x 50 %)</t>
  </si>
  <si>
    <t>(-) Exemption de 173 206 $</t>
  </si>
  <si>
    <t>15 % x (15 705 $ (+) 0 $ (-) 0 $)</t>
  </si>
  <si>
    <r>
      <t xml:space="preserve">(-) 50 % du montant des
crédits d’impôt personnels
SAUF
le </t>
    </r>
    <r>
      <rPr>
        <u/>
        <sz val="12"/>
        <rFont val="Times New Roman"/>
        <family val="1"/>
      </rPr>
      <t>crédit d’impôt pour dividendes</t>
    </r>
    <r>
      <rPr>
        <sz val="12"/>
        <rFont val="Times New Roman"/>
        <family val="1"/>
      </rPr>
      <t xml:space="preserve"> et le </t>
    </r>
    <r>
      <rPr>
        <u/>
        <sz val="12"/>
        <rFont val="Times New Roman"/>
        <family val="1"/>
      </rPr>
      <t>crédit d’impôt pour contribution politique</t>
    </r>
  </si>
  <si>
    <t>ND</t>
  </si>
  <si>
    <t xml:space="preserve">    &gt; 249 300 $ - 246 752 $ = 2 548 $*</t>
  </si>
  <si>
    <t xml:space="preserve">  6 000 $ - 200 $ - 2 548 $ = 3 252 $</t>
  </si>
  <si>
    <t>345 794 $ x 20,5 %</t>
  </si>
  <si>
    <t>15 % x [2 810 $ (-) moindre de (2 759 $ et 3 % x 719 300 $)]</t>
  </si>
  <si>
    <t>(+) 30 % du GC (admissible à la DGC)</t>
  </si>
  <si>
    <r>
      <t xml:space="preserve">(-) 50 % du montant des
crédits d’impôt personnels
SAUF
le </t>
    </r>
    <r>
      <rPr>
        <u/>
        <sz val="12"/>
        <rFont val="Times New Roman"/>
        <family val="1"/>
      </rPr>
      <t>crédit d’impôt pour dividendes</t>
    </r>
    <r>
      <rPr>
        <sz val="12"/>
        <rFont val="Times New Roman"/>
        <family val="1"/>
      </rPr>
      <t xml:space="preserve"> et le
</t>
    </r>
    <r>
      <rPr>
        <u/>
        <sz val="12"/>
        <rFont val="Times New Roman"/>
        <family val="1"/>
      </rPr>
      <t>crédit d’impôt pour contribution politique</t>
    </r>
  </si>
  <si>
    <t>Boni reçu dans l'année</t>
  </si>
  <si>
    <t>Gain en capital imposable (100 000 $ x 50 %)</t>
  </si>
  <si>
    <t>15 % x [2 810 $ (-) moindre de (2 759 $ et 3 % x 243 000 $)]</t>
  </si>
  <si>
    <t>119 794 $ x 20,5 %</t>
  </si>
  <si>
    <t>Note 1 - Calcul du crédit personnel de base</t>
  </si>
  <si>
    <t>Voir note 4 plus bas.</t>
  </si>
  <si>
    <t>Note 4 - Calcul du crédit pour contributions politiques</t>
  </si>
  <si>
    <t>Note 2 - Calcul du crédit pour dons</t>
  </si>
  <si>
    <r>
      <t xml:space="preserve">Il s'agit du montant rehaussé du crédit personnel de base.
Le montant servant au calcul du crédit personnel de base (appelé « montant personnel de base ») est rehaussé pour les particuliers </t>
    </r>
    <r>
      <rPr>
        <u/>
        <sz val="12"/>
        <rFont val="Times New Roman"/>
        <family val="1"/>
      </rPr>
      <t>dont le REVENU est inférieur ou égal au montant à partir duquel le taux d’impôt de 29 %</t>
    </r>
    <r>
      <rPr>
        <sz val="12"/>
        <rFont val="Times New Roman"/>
        <family val="1"/>
      </rPr>
      <t>. Normalement, dans le présent problème, compte tenu du montant de REVENU plus élevé, ce rehaussement aurait dû être éliminé complétement. Tel qu'indiqué dans le volume (sujet 7, point 5.1.1), compte tenu de l’impact minime de cette élimination sur les calculs d’impôt, tous les calculs effectués dans le matériel pédagogique le sont en utilisant un montant personnel de base « rehaussé », sans plus.</t>
    </r>
  </si>
  <si>
    <t>Voir note 1.</t>
  </si>
  <si>
    <r>
      <t xml:space="preserve">(-) 50 % du montant des
crédits d’impôt personnels
SAUF
le </t>
    </r>
    <r>
      <rPr>
        <u/>
        <sz val="12"/>
        <rFont val="Times New Roman"/>
        <family val="1"/>
      </rPr>
      <t>crédit d’impôt pour dividendes</t>
    </r>
    <r>
      <rPr>
        <sz val="12"/>
        <rFont val="Times New Roman"/>
        <family val="1"/>
      </rPr>
      <t xml:space="preserve"> et le </t>
    </r>
    <r>
      <rPr>
        <u/>
        <sz val="12"/>
        <rFont val="Times New Roman"/>
        <family val="1"/>
      </rPr>
      <t xml:space="preserve">crédit d’impôt pour contribution politique
</t>
    </r>
    <r>
      <rPr>
        <sz val="12"/>
        <rFont val="Times New Roman"/>
        <family val="1"/>
      </rPr>
      <t xml:space="preserve">(-) 80 % du montant du </t>
    </r>
    <r>
      <rPr>
        <u/>
        <sz val="12"/>
        <rFont val="Times New Roman"/>
        <family val="1"/>
      </rPr>
      <t>crédit pour dons</t>
    </r>
  </si>
  <si>
    <r>
      <t xml:space="preserve">(-) 50 % du montant des
crédits d’impôt personnels
SAUF
le </t>
    </r>
    <r>
      <rPr>
        <u/>
        <sz val="12"/>
        <rFont val="Times New Roman"/>
        <family val="1"/>
      </rPr>
      <t>crédit d’impôt pour dividendes</t>
    </r>
    <r>
      <rPr>
        <sz val="12"/>
        <rFont val="Times New Roman"/>
        <family val="1"/>
      </rPr>
      <t xml:space="preserve"> et le </t>
    </r>
    <r>
      <rPr>
        <u/>
        <sz val="12"/>
        <rFont val="Times New Roman"/>
        <family val="1"/>
      </rPr>
      <t>crédit d’impôt pour contribution politique</t>
    </r>
    <r>
      <rPr>
        <sz val="12"/>
        <rFont val="Times New Roman"/>
        <family val="1"/>
      </rPr>
      <t xml:space="preserve">
(-) 80 % du montant du </t>
    </r>
    <r>
      <rPr>
        <u/>
        <sz val="12"/>
        <rFont val="Times New Roman"/>
        <family val="1"/>
      </rPr>
      <t>crédit pour dons</t>
    </r>
  </si>
  <si>
    <t>(66 489 - 36 820 $) =</t>
  </si>
  <si>
    <t>Gain en capital imposable (940 000 $ x 50 %)</t>
  </si>
  <si>
    <t>Gain en capital imposable (20 000 $ x 50 %)</t>
  </si>
  <si>
    <t>57 375 $ et moins:</t>
  </si>
  <si>
    <t>Entre 57 376 $ et 114 750 $:</t>
  </si>
  <si>
    <t>Entre 114 751 $ et 177 882 $:</t>
  </si>
  <si>
    <t>Entre 177 883 $ et 253 414 $:</t>
  </si>
  <si>
    <t>253 415 $ et plus:</t>
  </si>
  <si>
    <t>15 % x (16 129 $ (+) 0 $ (-) 0 $)</t>
  </si>
  <si>
    <t>Frais médicaux payés = +1 850 $</t>
  </si>
  <si>
    <t>Frais remboursés par une assurance = -810 $</t>
  </si>
  <si>
    <t>15 % x [2 940 $ (-) moindre de (2 834 $ et 3 % x 724 300 $)]</t>
  </si>
  <si>
    <t xml:space="preserve">    &gt; 254 300 $ - 253 414 $ = 886 $*</t>
  </si>
  <si>
    <t xml:space="preserve">  6 000 $ - 200 $ - 886 $ = 4 914 $</t>
  </si>
  <si>
    <t>(+) 50 % du GC (autre que admissible...)
20 000 $ x 50 %</t>
  </si>
  <si>
    <t>(+) 30 % du GC (admissible à la DGC)
940 000 $ x 30 %</t>
  </si>
  <si>
    <t>(-) Exemption de 177 882 $</t>
  </si>
  <si>
    <t>346 118 $ x 20,5 %</t>
  </si>
  <si>
    <t>(66 505 - 37 675 $) =</t>
  </si>
  <si>
    <t>(+) 50 % du GC (autre que admissible...)
100 000 $ x 50 %</t>
  </si>
  <si>
    <t>100 118 $ x 20,5 %</t>
  </si>
  <si>
    <t>15 % x [2 940 $ (-) moindre de (2 834 $ et 3 % x 228 000 $)]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</si>
</sst>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_);\(#,##0\ &quot;$&quot;\)"/>
    <numFmt numFmtId="44" formatCode="_ * #,##0.00_)\ &quot;$&quot;_ ;_ * \(#,##0.00\)\ &quot;$&quot;_ ;_ * &quot;-&quot;??_)\ &quot;$&quot;_ ;_ @_ "/>
    <numFmt numFmtId="164" formatCode="_ * #,##0_)\ &quot;$&quot;_ ;_ * \(#,##0\)\ &quot;$&quot;_ ;_ * &quot;-&quot;??_)\ &quot;$&quot;_ ;_ @_ "/>
    <numFmt numFmtId="165" formatCode="0.0%"/>
  </numFmts>
  <fonts count="16" x14ac:knownFonts="1">
    <font>
      <sz val="11"/>
      <name val="Bookman Old Style"/>
    </font>
    <font>
      <sz val="11"/>
      <name val="Bookman Old Style"/>
      <family val="1"/>
    </font>
    <font>
      <sz val="12"/>
      <name val="Times New Roman"/>
      <family val="1"/>
    </font>
    <font>
      <b/>
      <sz val="12"/>
      <name val="Times New Roman"/>
      <family val="1"/>
    </font>
    <font>
      <b/>
      <sz val="14"/>
      <name val="Times New Roman"/>
      <family val="1"/>
    </font>
    <font>
      <sz val="12"/>
      <name val="Times New Roman"/>
      <family val="1"/>
    </font>
    <font>
      <b/>
      <u/>
      <sz val="12"/>
      <name val="Times New Roman"/>
      <family val="1"/>
    </font>
    <font>
      <i/>
      <u/>
      <sz val="12"/>
      <name val="Times New Roman"/>
      <family val="1"/>
    </font>
    <font>
      <sz val="10"/>
      <name val="Times New Roman"/>
      <family val="1"/>
    </font>
    <font>
      <sz val="11"/>
      <name val="Times New Roman"/>
      <family val="1"/>
    </font>
    <font>
      <u/>
      <sz val="12"/>
      <name val="Times New Roman"/>
      <family val="1"/>
    </font>
    <font>
      <i/>
      <sz val="12"/>
      <name val="Times New Roman"/>
      <family val="1"/>
    </font>
    <font>
      <i/>
      <sz val="11"/>
      <name val="Times New Roman"/>
      <family val="1"/>
    </font>
    <font>
      <i/>
      <sz val="2"/>
      <name val="Times New Roman"/>
      <family val="1"/>
    </font>
    <font>
      <sz val="11"/>
      <name val="Bookman Old Style"/>
      <family val="1"/>
    </font>
    <font>
      <i/>
      <sz val="12"/>
      <color theme="0"/>
      <name val="Times New Roman"/>
      <family val="1"/>
    </font>
  </fonts>
  <fills count="1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808080"/>
        <bgColor rgb="FF000000"/>
      </patternFill>
    </fill>
    <fill>
      <patternFill patternType="solid">
        <fgColor theme="0" tint="-0.49998474074526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5" tint="0.39997558519241921"/>
        <bgColor indexed="64"/>
      </patternFill>
    </fill>
    <fill>
      <patternFill patternType="solid">
        <fgColor theme="1"/>
        <bgColor indexed="64"/>
      </patternFill>
    </fill>
    <fill>
      <patternFill patternType="solid">
        <fgColor theme="8" tint="0.59999389629810485"/>
        <bgColor indexed="64"/>
      </patternFill>
    </fill>
    <fill>
      <patternFill patternType="solid">
        <fgColor theme="9"/>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D99594"/>
        <bgColor indexed="64"/>
      </patternFill>
    </fill>
  </fills>
  <borders count="37">
    <border>
      <left/>
      <right/>
      <top/>
      <bottom/>
      <diagonal/>
    </border>
    <border>
      <left/>
      <right/>
      <top/>
      <bottom style="thin">
        <color indexed="64"/>
      </bottom>
      <diagonal/>
    </border>
    <border>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ashed">
        <color indexed="64"/>
      </left>
      <right style="dashed">
        <color indexed="64"/>
      </right>
      <top style="thin">
        <color indexed="64"/>
      </top>
      <bottom style="dashed">
        <color indexed="64"/>
      </bottom>
      <diagonal/>
    </border>
    <border>
      <left/>
      <right style="thin">
        <color indexed="64"/>
      </right>
      <top style="thin">
        <color indexed="64"/>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style="dashed">
        <color indexed="64"/>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5" fillId="0" borderId="0"/>
    <xf numFmtId="44" fontId="2"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9" fontId="14" fillId="0" borderId="0" applyFont="0" applyFill="0" applyBorder="0" applyAlignment="0" applyProtection="0"/>
  </cellStyleXfs>
  <cellXfs count="222">
    <xf numFmtId="0" fontId="0" fillId="0" borderId="0" xfId="0"/>
    <xf numFmtId="0" fontId="2" fillId="0" borderId="0" xfId="0" applyFont="1"/>
    <xf numFmtId="5" fontId="2" fillId="0" borderId="0" xfId="1" applyNumberFormat="1" applyFont="1"/>
    <xf numFmtId="0" fontId="4" fillId="0" borderId="0" xfId="0" applyFont="1" applyBorder="1" applyAlignment="1">
      <alignment horizontal="center"/>
    </xf>
    <xf numFmtId="5" fontId="2" fillId="0" borderId="0" xfId="2" applyNumberFormat="1" applyFont="1" applyBorder="1"/>
    <xf numFmtId="0" fontId="6" fillId="0" borderId="0" xfId="0" applyFont="1"/>
    <xf numFmtId="5" fontId="7" fillId="0" borderId="0" xfId="2" applyNumberFormat="1" applyFont="1" applyBorder="1"/>
    <xf numFmtId="0" fontId="8" fillId="0" borderId="0" xfId="0" applyFont="1"/>
    <xf numFmtId="0" fontId="9" fillId="0" borderId="0" xfId="0" applyFont="1"/>
    <xf numFmtId="5" fontId="9" fillId="0" borderId="0" xfId="1" applyNumberFormat="1" applyFont="1"/>
    <xf numFmtId="5" fontId="9" fillId="0" borderId="0" xfId="1" applyNumberFormat="1" applyFont="1" applyBorder="1"/>
    <xf numFmtId="5" fontId="2" fillId="0" borderId="1" xfId="2" applyNumberFormat="1" applyFont="1" applyBorder="1"/>
    <xf numFmtId="5" fontId="2" fillId="0" borderId="2" xfId="1" applyNumberFormat="1" applyFont="1" applyBorder="1"/>
    <xf numFmtId="5" fontId="3" fillId="0" borderId="0" xfId="2" applyNumberFormat="1" applyFont="1" applyBorder="1"/>
    <xf numFmtId="5" fontId="2" fillId="0" borderId="0" xfId="1" applyNumberFormat="1" applyFont="1" applyBorder="1"/>
    <xf numFmtId="5" fontId="10" fillId="0" borderId="0" xfId="2" applyNumberFormat="1" applyFont="1" applyFill="1" applyBorder="1"/>
    <xf numFmtId="0" fontId="2" fillId="0" borderId="0" xfId="0" applyFont="1" applyAlignment="1">
      <alignment horizontal="lef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0" applyFont="1" applyBorder="1"/>
    <xf numFmtId="0" fontId="2" fillId="0" borderId="7" xfId="0" applyFont="1" applyBorder="1"/>
    <xf numFmtId="0" fontId="2" fillId="0" borderId="8" xfId="0" applyFont="1" applyBorder="1"/>
    <xf numFmtId="0" fontId="2" fillId="0" borderId="9" xfId="0" applyFont="1" applyBorder="1"/>
    <xf numFmtId="5" fontId="2" fillId="0" borderId="10" xfId="2" applyNumberFormat="1" applyFont="1" applyBorder="1"/>
    <xf numFmtId="5" fontId="11" fillId="0" borderId="0" xfId="1" applyNumberFormat="1" applyFont="1"/>
    <xf numFmtId="5" fontId="2" fillId="2" borderId="0" xfId="2" applyNumberFormat="1" applyFont="1" applyFill="1" applyBorder="1"/>
    <xf numFmtId="0" fontId="11" fillId="0" borderId="0" xfId="0" applyFont="1"/>
    <xf numFmtId="5" fontId="11" fillId="0" borderId="0" xfId="2" applyNumberFormat="1" applyFont="1" applyBorder="1"/>
    <xf numFmtId="5" fontId="2" fillId="3" borderId="0" xfId="2" applyNumberFormat="1" applyFont="1" applyFill="1" applyBorder="1"/>
    <xf numFmtId="5" fontId="2" fillId="4" borderId="11" xfId="0" applyNumberFormat="1" applyFont="1" applyFill="1" applyBorder="1"/>
    <xf numFmtId="37" fontId="11" fillId="0" borderId="0" xfId="1" applyNumberFormat="1" applyFont="1" applyAlignment="1">
      <alignment horizontal="left"/>
    </xf>
    <xf numFmtId="5" fontId="2" fillId="4" borderId="12" xfId="2" applyNumberFormat="1" applyFont="1" applyFill="1" applyBorder="1"/>
    <xf numFmtId="5" fontId="2" fillId="0" borderId="12" xfId="2" applyNumberFormat="1" applyFont="1" applyBorder="1"/>
    <xf numFmtId="0" fontId="12" fillId="0" borderId="0" xfId="0" applyFont="1"/>
    <xf numFmtId="5" fontId="13" fillId="0" borderId="0" xfId="2" quotePrefix="1" applyNumberFormat="1" applyFont="1" applyBorder="1"/>
    <xf numFmtId="0" fontId="3" fillId="0" borderId="0" xfId="0" applyFont="1"/>
    <xf numFmtId="5" fontId="2" fillId="0" borderId="0" xfId="0" applyNumberFormat="1" applyFont="1"/>
    <xf numFmtId="0" fontId="2" fillId="0" borderId="0" xfId="1" applyNumberFormat="1" applyFont="1" applyAlignment="1"/>
    <xf numFmtId="0" fontId="11" fillId="0" borderId="0" xfId="1" applyNumberFormat="1" applyFont="1" applyAlignment="1"/>
    <xf numFmtId="0" fontId="10" fillId="0" borderId="0" xfId="1" applyNumberFormat="1" applyFont="1" applyAlignment="1"/>
    <xf numFmtId="0" fontId="3" fillId="0" borderId="0" xfId="1" applyNumberFormat="1" applyFont="1" applyAlignment="1"/>
    <xf numFmtId="5" fontId="2" fillId="0" borderId="0" xfId="1" applyNumberFormat="1" applyFont="1" applyAlignment="1"/>
    <xf numFmtId="5" fontId="2" fillId="0" borderId="13" xfId="1" applyNumberFormat="1" applyFont="1" applyBorder="1" applyAlignment="1"/>
    <xf numFmtId="5" fontId="2" fillId="0" borderId="0" xfId="0" applyNumberFormat="1" applyFont="1" applyBorder="1"/>
    <xf numFmtId="5" fontId="2" fillId="0" borderId="14" xfId="1" applyNumberFormat="1" applyFont="1" applyBorder="1" applyAlignment="1"/>
    <xf numFmtId="0" fontId="6" fillId="0" borderId="0" xfId="1" applyNumberFormat="1" applyFont="1" applyAlignment="1"/>
    <xf numFmtId="164" fontId="2" fillId="5" borderId="17" xfId="1" applyNumberFormat="1" applyFont="1" applyFill="1" applyBorder="1"/>
    <xf numFmtId="164" fontId="2" fillId="5" borderId="15" xfId="1" applyNumberFormat="1" applyFont="1" applyFill="1" applyBorder="1"/>
    <xf numFmtId="164" fontId="2" fillId="6" borderId="16" xfId="1" applyNumberFormat="1" applyFont="1" applyFill="1" applyBorder="1"/>
    <xf numFmtId="5" fontId="2" fillId="3" borderId="16" xfId="1" applyNumberFormat="1" applyFont="1" applyFill="1" applyBorder="1"/>
    <xf numFmtId="0" fontId="3" fillId="0" borderId="0" xfId="0" applyFont="1" applyBorder="1" applyAlignment="1">
      <alignment horizontal="right"/>
    </xf>
    <xf numFmtId="5" fontId="2" fillId="2" borderId="13" xfId="1" applyNumberFormat="1" applyFont="1" applyFill="1" applyBorder="1" applyAlignment="1"/>
    <xf numFmtId="5" fontId="2" fillId="0" borderId="19" xfId="1" applyNumberFormat="1" applyFont="1" applyBorder="1" applyAlignment="1"/>
    <xf numFmtId="5" fontId="10" fillId="0" borderId="0" xfId="0" applyNumberFormat="1" applyFont="1" applyBorder="1"/>
    <xf numFmtId="9" fontId="2" fillId="0" borderId="0" xfId="6" applyFont="1" applyBorder="1" applyAlignment="1">
      <alignment horizontal="center"/>
    </xf>
    <xf numFmtId="165" fontId="2" fillId="0" borderId="0" xfId="6" applyNumberFormat="1" applyFont="1" applyBorder="1" applyAlignment="1">
      <alignment horizontal="center"/>
    </xf>
    <xf numFmtId="5" fontId="2" fillId="0" borderId="0" xfId="0" applyNumberFormat="1" applyFont="1" applyFill="1" applyBorder="1"/>
    <xf numFmtId="5" fontId="2" fillId="0" borderId="1" xfId="0" applyNumberFormat="1" applyFont="1" applyBorder="1"/>
    <xf numFmtId="5" fontId="2" fillId="7" borderId="13" xfId="1" applyNumberFormat="1" applyFont="1" applyFill="1" applyBorder="1" applyAlignment="1"/>
    <xf numFmtId="5" fontId="2" fillId="7" borderId="14" xfId="1" applyNumberFormat="1" applyFont="1" applyFill="1" applyBorder="1" applyAlignment="1"/>
    <xf numFmtId="5" fontId="3" fillId="7" borderId="19" xfId="1" applyNumberFormat="1" applyFont="1" applyFill="1" applyBorder="1"/>
    <xf numFmtId="0" fontId="2" fillId="0" borderId="0" xfId="1" applyNumberFormat="1" applyFont="1" applyBorder="1" applyAlignment="1"/>
    <xf numFmtId="5" fontId="2" fillId="0" borderId="0" xfId="0" applyNumberFormat="1" applyFont="1" applyBorder="1" applyAlignment="1"/>
    <xf numFmtId="5" fontId="11" fillId="0" borderId="0" xfId="0" applyNumberFormat="1" applyFont="1" applyBorder="1"/>
    <xf numFmtId="5" fontId="2" fillId="7" borderId="18" xfId="1" applyNumberFormat="1" applyFont="1" applyFill="1" applyBorder="1" applyAlignment="1"/>
    <xf numFmtId="0" fontId="11" fillId="0" borderId="0" xfId="1" applyNumberFormat="1" applyFont="1" applyFill="1" applyAlignment="1"/>
    <xf numFmtId="0" fontId="2" fillId="0" borderId="0" xfId="1" applyNumberFormat="1" applyFont="1" applyFill="1" applyAlignment="1"/>
    <xf numFmtId="5" fontId="2" fillId="0" borderId="0" xfId="1" applyNumberFormat="1" applyFont="1" applyFill="1" applyAlignment="1"/>
    <xf numFmtId="0" fontId="11" fillId="0" borderId="0" xfId="0" applyFont="1" applyFill="1"/>
    <xf numFmtId="0" fontId="2" fillId="8" borderId="0" xfId="0" applyFont="1" applyFill="1" applyBorder="1" applyAlignment="1">
      <alignment vertical="center"/>
    </xf>
    <xf numFmtId="0" fontId="11" fillId="8" borderId="0" xfId="0" applyFont="1" applyFill="1" applyBorder="1" applyAlignment="1">
      <alignment vertical="center"/>
    </xf>
    <xf numFmtId="0" fontId="11" fillId="0" borderId="0" xfId="1" applyNumberFormat="1" applyFont="1" applyBorder="1" applyAlignment="1"/>
    <xf numFmtId="0" fontId="2" fillId="3" borderId="0" xfId="1" applyNumberFormat="1" applyFont="1" applyFill="1" applyAlignment="1"/>
    <xf numFmtId="5" fontId="3" fillId="0" borderId="0" xfId="0" applyNumberFormat="1" applyFont="1" applyBorder="1"/>
    <xf numFmtId="0" fontId="3" fillId="8" borderId="0" xfId="0" applyFont="1" applyFill="1" applyBorder="1" applyAlignment="1">
      <alignment vertical="center"/>
    </xf>
    <xf numFmtId="0" fontId="3" fillId="0" borderId="0" xfId="1" applyNumberFormat="1" applyFont="1" applyBorder="1" applyAlignment="1"/>
    <xf numFmtId="0" fontId="3" fillId="0" borderId="0" xfId="1" applyNumberFormat="1" applyFont="1" applyFill="1" applyAlignment="1"/>
    <xf numFmtId="5" fontId="3" fillId="0" borderId="0" xfId="0" applyNumberFormat="1" applyFont="1" applyBorder="1" applyAlignment="1"/>
    <xf numFmtId="5" fontId="2" fillId="0" borderId="13" xfId="1" applyNumberFormat="1" applyFont="1" applyFill="1" applyBorder="1" applyAlignment="1"/>
    <xf numFmtId="0" fontId="3" fillId="0" borderId="0" xfId="1" applyNumberFormat="1" applyFont="1" applyAlignment="1">
      <alignment horizontal="right"/>
    </xf>
    <xf numFmtId="5" fontId="2" fillId="0" borderId="0" xfId="1" applyNumberFormat="1" applyFont="1" applyFill="1" applyBorder="1" applyAlignment="1"/>
    <xf numFmtId="5" fontId="3" fillId="0" borderId="0" xfId="1" applyNumberFormat="1" applyFont="1" applyFill="1" applyBorder="1"/>
    <xf numFmtId="5" fontId="2" fillId="0" borderId="0" xfId="1" applyNumberFormat="1" applyFont="1" applyFill="1" applyBorder="1"/>
    <xf numFmtId="5" fontId="2" fillId="0" borderId="13" xfId="0" applyNumberFormat="1" applyFont="1" applyBorder="1"/>
    <xf numFmtId="0" fontId="2" fillId="0" borderId="0" xfId="0" applyFont="1" applyBorder="1" applyAlignment="1">
      <alignment vertical="center"/>
    </xf>
    <xf numFmtId="5" fontId="2" fillId="0" borderId="0" xfId="0" applyNumberFormat="1" applyFont="1" applyBorder="1" applyAlignment="1">
      <alignment vertical="center"/>
    </xf>
    <xf numFmtId="5" fontId="3" fillId="0" borderId="14" xfId="0" applyNumberFormat="1" applyFont="1" applyBorder="1" applyAlignment="1">
      <alignment horizontal="right" vertical="center"/>
    </xf>
    <xf numFmtId="5" fontId="3" fillId="0" borderId="14" xfId="0" applyNumberFormat="1" applyFont="1" applyBorder="1" applyAlignment="1">
      <alignment horizontal="left" vertical="center"/>
    </xf>
    <xf numFmtId="5" fontId="2" fillId="0" borderId="0" xfId="0" applyNumberFormat="1" applyFont="1" applyFill="1"/>
    <xf numFmtId="5" fontId="2" fillId="0" borderId="0" xfId="1" applyNumberFormat="1" applyFont="1" applyFill="1"/>
    <xf numFmtId="5" fontId="3" fillId="0" borderId="0" xfId="0" applyNumberFormat="1" applyFont="1" applyFill="1" applyBorder="1" applyAlignment="1">
      <alignment wrapText="1"/>
    </xf>
    <xf numFmtId="5" fontId="3" fillId="0" borderId="0" xfId="0" applyNumberFormat="1" applyFont="1" applyFill="1"/>
    <xf numFmtId="0" fontId="2" fillId="7" borderId="21" xfId="0" applyFont="1" applyFill="1" applyBorder="1"/>
    <xf numFmtId="0" fontId="2" fillId="7" borderId="22" xfId="0" applyFont="1" applyFill="1" applyBorder="1"/>
    <xf numFmtId="0" fontId="2" fillId="7" borderId="22" xfId="0" applyFont="1" applyFill="1" applyBorder="1" applyAlignment="1">
      <alignment vertical="center"/>
    </xf>
    <xf numFmtId="5" fontId="2" fillId="7" borderId="22" xfId="0" applyNumberFormat="1" applyFont="1" applyFill="1" applyBorder="1" applyAlignment="1">
      <alignment vertical="center"/>
    </xf>
    <xf numFmtId="5" fontId="3" fillId="7" borderId="23" xfId="0" applyNumberFormat="1" applyFont="1" applyFill="1" applyBorder="1" applyAlignment="1">
      <alignment horizontal="right" vertical="center"/>
    </xf>
    <xf numFmtId="5" fontId="3" fillId="7" borderId="21" xfId="0" applyNumberFormat="1" applyFont="1" applyFill="1" applyBorder="1" applyAlignment="1">
      <alignment horizontal="left" vertical="center"/>
    </xf>
    <xf numFmtId="5" fontId="3" fillId="7" borderId="22" xfId="0" applyNumberFormat="1" applyFont="1" applyFill="1" applyBorder="1" applyAlignment="1">
      <alignment wrapText="1"/>
    </xf>
    <xf numFmtId="5" fontId="3" fillId="7" borderId="23" xfId="0" applyNumberFormat="1" applyFont="1" applyFill="1" applyBorder="1" applyAlignment="1">
      <alignment wrapText="1"/>
    </xf>
    <xf numFmtId="5" fontId="11" fillId="0" borderId="17" xfId="0" applyNumberFormat="1" applyFont="1" applyBorder="1"/>
    <xf numFmtId="5" fontId="11" fillId="0" borderId="15" xfId="0" applyNumberFormat="1" applyFont="1" applyBorder="1" applyAlignment="1">
      <alignment horizontal="right"/>
    </xf>
    <xf numFmtId="5" fontId="11" fillId="0" borderId="25" xfId="0" applyNumberFormat="1" applyFont="1" applyBorder="1"/>
    <xf numFmtId="5" fontId="2" fillId="0" borderId="15" xfId="0" applyNumberFormat="1" applyFont="1" applyBorder="1"/>
    <xf numFmtId="5" fontId="2" fillId="0" borderId="26" xfId="0" applyNumberFormat="1" applyFont="1" applyBorder="1"/>
    <xf numFmtId="5" fontId="11" fillId="0" borderId="24" xfId="0" applyNumberFormat="1" applyFont="1" applyBorder="1"/>
    <xf numFmtId="5" fontId="2" fillId="0" borderId="20" xfId="0" applyNumberFormat="1" applyFont="1" applyBorder="1"/>
    <xf numFmtId="5" fontId="2" fillId="0" borderId="24" xfId="0" quotePrefix="1" applyNumberFormat="1" applyFont="1" applyBorder="1"/>
    <xf numFmtId="5" fontId="2" fillId="0" borderId="27" xfId="0" applyNumberFormat="1" applyFont="1" applyBorder="1"/>
    <xf numFmtId="5" fontId="11" fillId="0" borderId="28" xfId="0" applyNumberFormat="1" applyFont="1" applyBorder="1"/>
    <xf numFmtId="5" fontId="2" fillId="0" borderId="28" xfId="0" applyNumberFormat="1" applyFont="1" applyBorder="1"/>
    <xf numFmtId="5" fontId="2" fillId="0" borderId="24" xfId="0" applyNumberFormat="1" applyFont="1" applyBorder="1"/>
    <xf numFmtId="5" fontId="2" fillId="0" borderId="29" xfId="0" applyNumberFormat="1" applyFont="1" applyBorder="1"/>
    <xf numFmtId="5" fontId="2" fillId="0" borderId="30" xfId="0" applyNumberFormat="1" applyFont="1" applyBorder="1"/>
    <xf numFmtId="5" fontId="2" fillId="0" borderId="31" xfId="0" applyNumberFormat="1" applyFont="1" applyBorder="1" applyAlignment="1">
      <alignment horizontal="center"/>
    </xf>
    <xf numFmtId="5" fontId="2" fillId="0" borderId="1" xfId="0" applyNumberFormat="1" applyFont="1" applyBorder="1" applyAlignment="1">
      <alignment horizontal="center"/>
    </xf>
    <xf numFmtId="5" fontId="2" fillId="0" borderId="1" xfId="0" applyNumberFormat="1" applyFont="1" applyBorder="1" applyAlignment="1">
      <alignment horizontal="right"/>
    </xf>
    <xf numFmtId="5" fontId="2" fillId="0" borderId="0" xfId="0" applyNumberFormat="1" applyFont="1" applyBorder="1" applyAlignment="1">
      <alignment horizontal="center"/>
    </xf>
    <xf numFmtId="0" fontId="2" fillId="0" borderId="15" xfId="0" applyFont="1" applyBorder="1"/>
    <xf numFmtId="5" fontId="2" fillId="0" borderId="0" xfId="0" quotePrefix="1" applyNumberFormat="1" applyFont="1" applyBorder="1"/>
    <xf numFmtId="0" fontId="2" fillId="0" borderId="1" xfId="0" applyFont="1" applyBorder="1"/>
    <xf numFmtId="5" fontId="2" fillId="7" borderId="16" xfId="0" applyNumberFormat="1" applyFont="1" applyFill="1" applyBorder="1"/>
    <xf numFmtId="0" fontId="2" fillId="9" borderId="0" xfId="1" applyNumberFormat="1" applyFont="1" applyFill="1" applyBorder="1" applyAlignment="1"/>
    <xf numFmtId="5" fontId="2" fillId="7" borderId="34" xfId="1" applyNumberFormat="1" applyFont="1" applyFill="1" applyBorder="1" applyAlignment="1"/>
    <xf numFmtId="5" fontId="2" fillId="7" borderId="35" xfId="1" applyNumberFormat="1" applyFont="1" applyFill="1" applyBorder="1" applyAlignment="1"/>
    <xf numFmtId="5" fontId="2" fillId="7" borderId="36" xfId="1" applyNumberFormat="1" applyFont="1" applyFill="1" applyBorder="1" applyAlignment="1"/>
    <xf numFmtId="5" fontId="2" fillId="0" borderId="24" xfId="1" applyNumberFormat="1" applyFont="1" applyFill="1" applyBorder="1" applyAlignment="1"/>
    <xf numFmtId="5" fontId="3" fillId="0" borderId="0" xfId="1" applyNumberFormat="1" applyFont="1" applyFill="1" applyBorder="1" applyAlignment="1"/>
    <xf numFmtId="5" fontId="2" fillId="3" borderId="33" xfId="1" applyNumberFormat="1" applyFont="1" applyFill="1" applyBorder="1" applyAlignment="1"/>
    <xf numFmtId="5" fontId="3" fillId="3" borderId="0" xfId="0" applyNumberFormat="1" applyFont="1" applyFill="1" applyAlignment="1">
      <alignment horizontal="right"/>
    </xf>
    <xf numFmtId="5" fontId="2" fillId="9" borderId="34" xfId="1" applyNumberFormat="1" applyFont="1" applyFill="1" applyBorder="1" applyAlignment="1"/>
    <xf numFmtId="5" fontId="2" fillId="0" borderId="16" xfId="1" applyNumberFormat="1" applyFont="1" applyBorder="1" applyAlignment="1"/>
    <xf numFmtId="5" fontId="2" fillId="0" borderId="13" xfId="0" applyNumberFormat="1" applyFont="1" applyBorder="1" applyAlignment="1">
      <alignment vertical="center"/>
    </xf>
    <xf numFmtId="5" fontId="2" fillId="12" borderId="35" xfId="1" applyNumberFormat="1" applyFont="1" applyFill="1" applyBorder="1" applyAlignment="1"/>
    <xf numFmtId="5" fontId="2" fillId="12" borderId="13" xfId="1" applyNumberFormat="1" applyFont="1" applyFill="1" applyBorder="1" applyAlignment="1"/>
    <xf numFmtId="0" fontId="2" fillId="3" borderId="17" xfId="0" applyFont="1" applyFill="1" applyBorder="1"/>
    <xf numFmtId="5" fontId="2" fillId="3" borderId="15" xfId="0" applyNumberFormat="1" applyFont="1" applyFill="1" applyBorder="1"/>
    <xf numFmtId="0" fontId="2" fillId="3" borderId="15" xfId="0" applyFont="1" applyFill="1" applyBorder="1"/>
    <xf numFmtId="5" fontId="10" fillId="3" borderId="15" xfId="0" applyNumberFormat="1" applyFont="1" applyFill="1" applyBorder="1" applyAlignment="1">
      <alignment horizontal="right"/>
    </xf>
    <xf numFmtId="5" fontId="2" fillId="3" borderId="26" xfId="0" applyNumberFormat="1" applyFont="1" applyFill="1" applyBorder="1"/>
    <xf numFmtId="5" fontId="2" fillId="3" borderId="31" xfId="0" applyNumberFormat="1" applyFont="1" applyFill="1" applyBorder="1"/>
    <xf numFmtId="0" fontId="2" fillId="3" borderId="1" xfId="0" applyFont="1" applyFill="1" applyBorder="1"/>
    <xf numFmtId="5" fontId="2" fillId="3" borderId="1" xfId="0" applyNumberFormat="1" applyFont="1" applyFill="1" applyBorder="1" applyAlignment="1">
      <alignment horizontal="right"/>
    </xf>
    <xf numFmtId="5" fontId="2" fillId="3" borderId="1" xfId="0" applyNumberFormat="1" applyFont="1" applyFill="1" applyBorder="1"/>
    <xf numFmtId="5" fontId="2" fillId="11" borderId="13" xfId="1" applyNumberFormat="1" applyFont="1" applyFill="1" applyBorder="1" applyAlignment="1"/>
    <xf numFmtId="5" fontId="12" fillId="0" borderId="0" xfId="0" applyNumberFormat="1" applyFont="1"/>
    <xf numFmtId="5" fontId="12" fillId="0" borderId="0" xfId="0" applyNumberFormat="1" applyFont="1" applyAlignment="1">
      <alignment horizontal="right" wrapText="1"/>
    </xf>
    <xf numFmtId="5" fontId="12" fillId="0" borderId="0" xfId="0" applyNumberFormat="1" applyFont="1" applyBorder="1" applyAlignment="1">
      <alignment horizontal="right" wrapText="1"/>
    </xf>
    <xf numFmtId="5" fontId="2" fillId="7" borderId="13" xfId="1" applyNumberFormat="1" applyFont="1" applyFill="1" applyBorder="1" applyAlignment="1">
      <alignment horizontal="right" vertical="center"/>
    </xf>
    <xf numFmtId="0" fontId="2" fillId="3" borderId="24" xfId="0" applyFont="1" applyFill="1" applyBorder="1"/>
    <xf numFmtId="5" fontId="2" fillId="3" borderId="0" xfId="0" applyNumberFormat="1" applyFont="1" applyFill="1" applyBorder="1"/>
    <xf numFmtId="0" fontId="2" fillId="3" borderId="0" xfId="0" applyFont="1" applyFill="1" applyBorder="1"/>
    <xf numFmtId="5" fontId="2" fillId="3" borderId="20" xfId="0" applyNumberFormat="1" applyFont="1" applyFill="1" applyBorder="1"/>
    <xf numFmtId="5" fontId="2" fillId="3" borderId="0" xfId="0" applyNumberFormat="1" applyFont="1" applyFill="1" applyBorder="1" applyAlignment="1">
      <alignment horizontal="right"/>
    </xf>
    <xf numFmtId="0" fontId="2" fillId="11" borderId="24" xfId="0" applyFont="1" applyFill="1" applyBorder="1"/>
    <xf numFmtId="5" fontId="2" fillId="11" borderId="0" xfId="0" applyNumberFormat="1" applyFont="1" applyFill="1" applyBorder="1"/>
    <xf numFmtId="0" fontId="2" fillId="11" borderId="0" xfId="0" applyFont="1" applyFill="1" applyBorder="1"/>
    <xf numFmtId="5" fontId="2" fillId="11" borderId="20" xfId="0" applyNumberFormat="1" applyFont="1" applyFill="1" applyBorder="1"/>
    <xf numFmtId="5" fontId="2" fillId="3" borderId="16" xfId="0" applyNumberFormat="1" applyFont="1" applyFill="1" applyBorder="1"/>
    <xf numFmtId="5" fontId="2" fillId="11" borderId="0" xfId="0" applyNumberFormat="1" applyFont="1" applyFill="1" applyBorder="1" applyAlignment="1">
      <alignment horizontal="right"/>
    </xf>
    <xf numFmtId="5" fontId="11" fillId="0" borderId="0" xfId="1" applyNumberFormat="1" applyFont="1" applyFill="1" applyBorder="1" applyAlignment="1"/>
    <xf numFmtId="5" fontId="15" fillId="10" borderId="35" xfId="1" applyNumberFormat="1" applyFont="1" applyFill="1" applyBorder="1" applyAlignment="1">
      <alignment horizontal="center"/>
    </xf>
    <xf numFmtId="0" fontId="10" fillId="0" borderId="0" xfId="0" applyFont="1"/>
    <xf numFmtId="0" fontId="6" fillId="13" borderId="0" xfId="1" applyNumberFormat="1" applyFont="1" applyFill="1" applyAlignment="1"/>
    <xf numFmtId="0" fontId="3" fillId="13" borderId="0" xfId="1" applyNumberFormat="1" applyFont="1" applyFill="1" applyAlignment="1"/>
    <xf numFmtId="0" fontId="2" fillId="13" borderId="0" xfId="1" applyNumberFormat="1" applyFont="1" applyFill="1" applyAlignment="1"/>
    <xf numFmtId="5" fontId="2" fillId="13" borderId="0" xfId="1" applyNumberFormat="1" applyFont="1" applyFill="1" applyAlignment="1"/>
    <xf numFmtId="5" fontId="2" fillId="13" borderId="13" xfId="1" applyNumberFormat="1" applyFont="1" applyFill="1" applyBorder="1" applyAlignment="1"/>
    <xf numFmtId="0" fontId="3" fillId="13" borderId="0" xfId="0" applyFont="1" applyFill="1" applyBorder="1" applyAlignment="1">
      <alignment horizontal="right"/>
    </xf>
    <xf numFmtId="5" fontId="2" fillId="13" borderId="14" xfId="1" applyNumberFormat="1" applyFont="1" applyFill="1" applyBorder="1" applyAlignment="1"/>
    <xf numFmtId="0" fontId="6" fillId="14" borderId="0" xfId="1" applyNumberFormat="1" applyFont="1" applyFill="1" applyAlignment="1"/>
    <xf numFmtId="0" fontId="2" fillId="14" borderId="0" xfId="1" applyNumberFormat="1" applyFont="1" applyFill="1" applyAlignment="1"/>
    <xf numFmtId="5" fontId="2" fillId="14" borderId="0" xfId="1" applyNumberFormat="1" applyFont="1" applyFill="1" applyAlignment="1"/>
    <xf numFmtId="5" fontId="2" fillId="14" borderId="13" xfId="1" applyNumberFormat="1" applyFont="1" applyFill="1" applyBorder="1" applyAlignment="1"/>
    <xf numFmtId="0" fontId="3" fillId="14" borderId="0" xfId="0" applyFont="1" applyFill="1" applyBorder="1" applyAlignment="1">
      <alignment horizontal="right"/>
    </xf>
    <xf numFmtId="5" fontId="2" fillId="14" borderId="19" xfId="1" applyNumberFormat="1" applyFont="1" applyFill="1" applyBorder="1" applyAlignment="1"/>
    <xf numFmtId="5" fontId="2" fillId="14" borderId="13" xfId="0" applyNumberFormat="1" applyFont="1" applyFill="1" applyBorder="1"/>
    <xf numFmtId="0" fontId="6" fillId="9" borderId="0" xfId="1" applyNumberFormat="1" applyFont="1" applyFill="1" applyAlignment="1"/>
    <xf numFmtId="0" fontId="2" fillId="9" borderId="0" xfId="1" applyNumberFormat="1" applyFont="1" applyFill="1" applyAlignment="1"/>
    <xf numFmtId="5" fontId="2" fillId="9" borderId="0" xfId="1" applyNumberFormat="1" applyFont="1" applyFill="1" applyAlignment="1"/>
    <xf numFmtId="5" fontId="2" fillId="9" borderId="13" xfId="1" applyNumberFormat="1" applyFont="1" applyFill="1" applyBorder="1" applyAlignment="1"/>
    <xf numFmtId="0" fontId="2" fillId="15" borderId="0" xfId="1" applyNumberFormat="1" applyFont="1" applyFill="1" applyAlignment="1"/>
    <xf numFmtId="0" fontId="11" fillId="15" borderId="0" xfId="1" applyNumberFormat="1" applyFont="1" applyFill="1" applyAlignment="1"/>
    <xf numFmtId="0" fontId="3" fillId="15" borderId="0" xfId="1" applyNumberFormat="1" applyFont="1" applyFill="1" applyAlignment="1">
      <alignment horizontal="right"/>
    </xf>
    <xf numFmtId="5" fontId="3" fillId="15" borderId="19" xfId="1" applyNumberFormat="1" applyFont="1" applyFill="1" applyBorder="1"/>
    <xf numFmtId="0" fontId="11" fillId="9" borderId="0" xfId="1" applyNumberFormat="1" applyFont="1" applyFill="1" applyAlignment="1"/>
    <xf numFmtId="0" fontId="3" fillId="9" borderId="0" xfId="1" applyNumberFormat="1" applyFont="1" applyFill="1" applyAlignment="1">
      <alignment horizontal="right"/>
    </xf>
    <xf numFmtId="5" fontId="3" fillId="9" borderId="19" xfId="1" applyNumberFormat="1" applyFont="1" applyFill="1" applyBorder="1"/>
    <xf numFmtId="0" fontId="3" fillId="2" borderId="21" xfId="0" applyFont="1" applyFill="1" applyBorder="1" applyAlignment="1">
      <alignment horizontal="center" wrapText="1"/>
    </xf>
    <xf numFmtId="0" fontId="3" fillId="2" borderId="22" xfId="0" applyFont="1" applyFill="1" applyBorder="1" applyAlignment="1">
      <alignment horizontal="center"/>
    </xf>
    <xf numFmtId="0" fontId="3" fillId="2" borderId="23" xfId="0" applyFont="1" applyFill="1" applyBorder="1" applyAlignment="1">
      <alignment horizontal="center"/>
    </xf>
    <xf numFmtId="5" fontId="2" fillId="0" borderId="24" xfId="0" applyNumberFormat="1" applyFont="1" applyFill="1" applyBorder="1" applyAlignment="1">
      <alignment horizontal="left" wrapText="1"/>
    </xf>
    <xf numFmtId="5" fontId="2" fillId="0" borderId="0" xfId="0" applyNumberFormat="1" applyFont="1" applyFill="1" applyBorder="1" applyAlignment="1">
      <alignment horizontal="left" wrapText="1"/>
    </xf>
    <xf numFmtId="5" fontId="2" fillId="0" borderId="15" xfId="1" applyNumberFormat="1" applyFont="1" applyFill="1" applyBorder="1" applyAlignment="1">
      <alignment horizontal="center" vertical="center" wrapText="1"/>
    </xf>
    <xf numFmtId="5" fontId="2" fillId="0" borderId="26" xfId="1" applyNumberFormat="1" applyFont="1" applyFill="1" applyBorder="1" applyAlignment="1">
      <alignment horizontal="center" vertical="center" wrapText="1"/>
    </xf>
    <xf numFmtId="5" fontId="2" fillId="0" borderId="0" xfId="1" applyNumberFormat="1" applyFont="1" applyFill="1" applyBorder="1" applyAlignment="1">
      <alignment horizontal="center" vertical="center" wrapText="1"/>
    </xf>
    <xf numFmtId="5" fontId="2" fillId="0" borderId="20" xfId="1" applyNumberFormat="1" applyFont="1" applyFill="1" applyBorder="1" applyAlignment="1">
      <alignment horizontal="center" vertical="center" wrapText="1"/>
    </xf>
    <xf numFmtId="5" fontId="2" fillId="0" borderId="1" xfId="1" applyNumberFormat="1" applyFont="1" applyFill="1" applyBorder="1" applyAlignment="1">
      <alignment horizontal="center" vertical="center" wrapText="1"/>
    </xf>
    <xf numFmtId="5" fontId="2" fillId="0" borderId="30" xfId="1" applyNumberFormat="1" applyFont="1" applyFill="1" applyBorder="1" applyAlignment="1">
      <alignment horizontal="center" vertical="center" wrapText="1"/>
    </xf>
    <xf numFmtId="5" fontId="11" fillId="0" borderId="17" xfId="0" applyNumberFormat="1" applyFont="1" applyBorder="1" applyAlignment="1">
      <alignment horizontal="right" wrapText="1"/>
    </xf>
    <xf numFmtId="5" fontId="11" fillId="0" borderId="15" xfId="0" applyNumberFormat="1" applyFont="1" applyBorder="1" applyAlignment="1">
      <alignment horizontal="right" wrapText="1"/>
    </xf>
    <xf numFmtId="5" fontId="11" fillId="0" borderId="24" xfId="0" applyNumberFormat="1" applyFont="1" applyBorder="1" applyAlignment="1">
      <alignment horizontal="right" wrapText="1"/>
    </xf>
    <xf numFmtId="5" fontId="11" fillId="0" borderId="0" xfId="0" applyNumberFormat="1" applyFont="1" applyBorder="1" applyAlignment="1">
      <alignment horizontal="right" wrapText="1"/>
    </xf>
    <xf numFmtId="5" fontId="11" fillId="0" borderId="32" xfId="0" applyNumberFormat="1" applyFont="1" applyBorder="1" applyAlignment="1">
      <alignment horizontal="center"/>
    </xf>
    <xf numFmtId="5" fontId="11" fillId="0" borderId="29" xfId="0" applyNumberFormat="1" applyFont="1" applyBorder="1" applyAlignment="1">
      <alignment horizontal="center"/>
    </xf>
    <xf numFmtId="5" fontId="2" fillId="11" borderId="0" xfId="1" applyNumberFormat="1" applyFont="1" applyFill="1" applyAlignment="1">
      <alignment horizontal="right" wrapText="1"/>
    </xf>
    <xf numFmtId="5" fontId="2" fillId="11" borderId="20" xfId="1" applyNumberFormat="1" applyFont="1" applyFill="1" applyBorder="1" applyAlignment="1">
      <alignment horizontal="right" wrapText="1"/>
    </xf>
    <xf numFmtId="5" fontId="11" fillId="3" borderId="0" xfId="0" applyNumberFormat="1" applyFont="1" applyFill="1" applyAlignment="1">
      <alignment horizontal="right" wrapText="1"/>
    </xf>
    <xf numFmtId="5" fontId="11" fillId="3" borderId="20" xfId="0" applyNumberFormat="1" applyFont="1" applyFill="1" applyBorder="1" applyAlignment="1">
      <alignment horizontal="right" wrapText="1"/>
    </xf>
    <xf numFmtId="5" fontId="2" fillId="3" borderId="14" xfId="1" applyNumberFormat="1" applyFont="1" applyFill="1" applyBorder="1" applyAlignment="1">
      <alignment horizontal="right" vertical="center"/>
    </xf>
    <xf numFmtId="5" fontId="2" fillId="3" borderId="18" xfId="1" applyNumberFormat="1" applyFont="1" applyFill="1" applyBorder="1" applyAlignment="1">
      <alignment horizontal="right" vertical="center"/>
    </xf>
    <xf numFmtId="5" fontId="2" fillId="0" borderId="24" xfId="0" applyNumberFormat="1" applyFont="1" applyFill="1" applyBorder="1" applyAlignment="1">
      <alignment horizontal="left" vertical="center" wrapText="1"/>
    </xf>
    <xf numFmtId="5" fontId="2" fillId="0" borderId="0" xfId="0" applyNumberFormat="1" applyFont="1" applyFill="1" applyBorder="1" applyAlignment="1">
      <alignment horizontal="left" vertical="center" wrapText="1"/>
    </xf>
    <xf numFmtId="0" fontId="3" fillId="2" borderId="21" xfId="0" applyFont="1" applyFill="1" applyBorder="1" applyAlignment="1">
      <alignment horizontal="center"/>
    </xf>
    <xf numFmtId="0" fontId="2" fillId="0" borderId="0" xfId="0" applyFont="1" applyBorder="1" applyAlignment="1">
      <alignment horizontal="left" wrapText="1"/>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21" xfId="0" applyFont="1" applyFill="1" applyBorder="1" applyAlignment="1">
      <alignment horizontal="center" wrapText="1"/>
    </xf>
    <xf numFmtId="0" fontId="2" fillId="0" borderId="0" xfId="0" applyFont="1" applyAlignment="1">
      <alignment horizontal="left" wrapText="1"/>
    </xf>
  </cellXfs>
  <cellStyles count="7">
    <cellStyle name="Monétaire" xfId="1" builtinId="4"/>
    <cellStyle name="Monétaire 5 2" xfId="3" xr:uid="{49E1E3E7-1DF5-413C-84D6-F91BE520D658}"/>
    <cellStyle name="Monétaire 6" xfId="5" xr:uid="{AECBDEF7-D765-4CCE-BBBC-66A753F0A5D7}"/>
    <cellStyle name="Normal" xfId="0" builtinId="0"/>
    <cellStyle name="Normal_H2005 - Étude de cas - Sport au Max Inc. - Solution" xfId="2" xr:uid="{00000000-0005-0000-0000-000002000000}"/>
    <cellStyle name="Pourcentage" xfId="6" builtinId="5"/>
    <cellStyle name="Pourcentage 4" xfId="4" xr:uid="{8BE5D6B4-444E-44C1-BB9A-ACF14E495A08}"/>
  </cellStyles>
  <dxfs count="0"/>
  <tableStyles count="0" defaultTableStyle="TableStyleMedium9" defaultPivotStyle="PivotStyleLight16"/>
  <colors>
    <mruColors>
      <color rgb="FFD99594"/>
      <color rgb="FFC2D69B"/>
      <color rgb="FF558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212459</xdr:colOff>
      <xdr:row>7</xdr:row>
      <xdr:rowOff>43961</xdr:rowOff>
    </xdr:from>
    <xdr:to>
      <xdr:col>5</xdr:col>
      <xdr:colOff>593459</xdr:colOff>
      <xdr:row>9</xdr:row>
      <xdr:rowOff>0</xdr:rowOff>
    </xdr:to>
    <xdr:sp macro="" textlink="">
      <xdr:nvSpPr>
        <xdr:cNvPr id="2" name="Flèche : bas 1">
          <a:extLst>
            <a:ext uri="{FF2B5EF4-FFF2-40B4-BE49-F238E27FC236}">
              <a16:creationId xmlns:a16="http://schemas.microsoft.com/office/drawing/2014/main" id="{CAF33632-32D4-42D1-93B5-A4B9630056D5}"/>
            </a:ext>
          </a:extLst>
        </xdr:cNvPr>
        <xdr:cNvSpPr/>
      </xdr:nvSpPr>
      <xdr:spPr>
        <a:xfrm>
          <a:off x="3245805" y="1589942"/>
          <a:ext cx="381000" cy="344366"/>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6</xdr:col>
      <xdr:colOff>196130</xdr:colOff>
      <xdr:row>7</xdr:row>
      <xdr:rowOff>43961</xdr:rowOff>
    </xdr:from>
    <xdr:to>
      <xdr:col>6</xdr:col>
      <xdr:colOff>577130</xdr:colOff>
      <xdr:row>9</xdr:row>
      <xdr:rowOff>0</xdr:rowOff>
    </xdr:to>
    <xdr:sp macro="" textlink="">
      <xdr:nvSpPr>
        <xdr:cNvPr id="3" name="Flèche : bas 2">
          <a:extLst>
            <a:ext uri="{FF2B5EF4-FFF2-40B4-BE49-F238E27FC236}">
              <a16:creationId xmlns:a16="http://schemas.microsoft.com/office/drawing/2014/main" id="{4F5F7B40-466C-49B7-AEBC-53653979BE6F}"/>
            </a:ext>
          </a:extLst>
        </xdr:cNvPr>
        <xdr:cNvSpPr/>
      </xdr:nvSpPr>
      <xdr:spPr>
        <a:xfrm>
          <a:off x="3998803" y="1589942"/>
          <a:ext cx="381000" cy="344366"/>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370114</xdr:colOff>
      <xdr:row>97</xdr:row>
      <xdr:rowOff>5443</xdr:rowOff>
    </xdr:from>
    <xdr:to>
      <xdr:col>4</xdr:col>
      <xdr:colOff>370114</xdr:colOff>
      <xdr:row>98</xdr:row>
      <xdr:rowOff>0</xdr:rowOff>
    </xdr:to>
    <xdr:cxnSp macro="">
      <xdr:nvCxnSpPr>
        <xdr:cNvPr id="4" name="Connecteur droit avec flèche 3">
          <a:extLst>
            <a:ext uri="{FF2B5EF4-FFF2-40B4-BE49-F238E27FC236}">
              <a16:creationId xmlns:a16="http://schemas.microsoft.com/office/drawing/2014/main" id="{D0D57D99-6D02-4D29-AD48-2833EA218F9E}"/>
            </a:ext>
          </a:extLst>
        </xdr:cNvPr>
        <xdr:cNvCxnSpPr/>
      </xdr:nvCxnSpPr>
      <xdr:spPr>
        <a:xfrm>
          <a:off x="2683328" y="15278100"/>
          <a:ext cx="0" cy="185057"/>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584641</xdr:colOff>
      <xdr:row>43</xdr:row>
      <xdr:rowOff>183934</xdr:rowOff>
    </xdr:from>
    <xdr:to>
      <xdr:col>6</xdr:col>
      <xdr:colOff>302172</xdr:colOff>
      <xdr:row>70</xdr:row>
      <xdr:rowOff>105103</xdr:rowOff>
    </xdr:to>
    <xdr:cxnSp macro="">
      <xdr:nvCxnSpPr>
        <xdr:cNvPr id="7" name="Connecteur droit avec flèche 6">
          <a:extLst>
            <a:ext uri="{FF2B5EF4-FFF2-40B4-BE49-F238E27FC236}">
              <a16:creationId xmlns:a16="http://schemas.microsoft.com/office/drawing/2014/main" id="{BEE2DF3C-EFDB-438E-B715-3A621A96C908}"/>
            </a:ext>
          </a:extLst>
        </xdr:cNvPr>
        <xdr:cNvCxnSpPr/>
      </xdr:nvCxnSpPr>
      <xdr:spPr>
        <a:xfrm flipH="1" flipV="1">
          <a:off x="1386055" y="8211210"/>
          <a:ext cx="2726117" cy="5064669"/>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370114</xdr:colOff>
      <xdr:row>111</xdr:row>
      <xdr:rowOff>5443</xdr:rowOff>
    </xdr:from>
    <xdr:to>
      <xdr:col>4</xdr:col>
      <xdr:colOff>370114</xdr:colOff>
      <xdr:row>112</xdr:row>
      <xdr:rowOff>0</xdr:rowOff>
    </xdr:to>
    <xdr:cxnSp macro="">
      <xdr:nvCxnSpPr>
        <xdr:cNvPr id="13" name="Connecteur droit avec flèche 12">
          <a:extLst>
            <a:ext uri="{FF2B5EF4-FFF2-40B4-BE49-F238E27FC236}">
              <a16:creationId xmlns:a16="http://schemas.microsoft.com/office/drawing/2014/main" id="{F5F2A428-0F57-4B8F-8706-78D9E7BDD8E7}"/>
            </a:ext>
          </a:extLst>
        </xdr:cNvPr>
        <xdr:cNvCxnSpPr/>
      </xdr:nvCxnSpPr>
      <xdr:spPr>
        <a:xfrm>
          <a:off x="2688959" y="16033719"/>
          <a:ext cx="0" cy="185057"/>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212459</xdr:colOff>
      <xdr:row>123</xdr:row>
      <xdr:rowOff>43961</xdr:rowOff>
    </xdr:from>
    <xdr:to>
      <xdr:col>5</xdr:col>
      <xdr:colOff>593459</xdr:colOff>
      <xdr:row>125</xdr:row>
      <xdr:rowOff>0</xdr:rowOff>
    </xdr:to>
    <xdr:sp macro="" textlink="">
      <xdr:nvSpPr>
        <xdr:cNvPr id="8" name="Flèche : bas 7">
          <a:extLst>
            <a:ext uri="{FF2B5EF4-FFF2-40B4-BE49-F238E27FC236}">
              <a16:creationId xmlns:a16="http://schemas.microsoft.com/office/drawing/2014/main" id="{6F5B2093-89D2-4B72-9624-888B34005DC1}"/>
            </a:ext>
          </a:extLst>
        </xdr:cNvPr>
        <xdr:cNvSpPr/>
      </xdr:nvSpPr>
      <xdr:spPr>
        <a:xfrm>
          <a:off x="3253890" y="1587668"/>
          <a:ext cx="381000" cy="343608"/>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6</xdr:col>
      <xdr:colOff>196130</xdr:colOff>
      <xdr:row>123</xdr:row>
      <xdr:rowOff>43961</xdr:rowOff>
    </xdr:from>
    <xdr:to>
      <xdr:col>6</xdr:col>
      <xdr:colOff>577130</xdr:colOff>
      <xdr:row>125</xdr:row>
      <xdr:rowOff>0</xdr:rowOff>
    </xdr:to>
    <xdr:sp macro="" textlink="">
      <xdr:nvSpPr>
        <xdr:cNvPr id="9" name="Flèche : bas 8">
          <a:extLst>
            <a:ext uri="{FF2B5EF4-FFF2-40B4-BE49-F238E27FC236}">
              <a16:creationId xmlns:a16="http://schemas.microsoft.com/office/drawing/2014/main" id="{A756659A-1565-46AB-89C1-4F62143D50AB}"/>
            </a:ext>
          </a:extLst>
        </xdr:cNvPr>
        <xdr:cNvSpPr/>
      </xdr:nvSpPr>
      <xdr:spPr>
        <a:xfrm>
          <a:off x="4006130" y="1587668"/>
          <a:ext cx="381000" cy="343608"/>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370114</xdr:colOff>
      <xdr:row>193</xdr:row>
      <xdr:rowOff>5443</xdr:rowOff>
    </xdr:from>
    <xdr:to>
      <xdr:col>4</xdr:col>
      <xdr:colOff>370114</xdr:colOff>
      <xdr:row>194</xdr:row>
      <xdr:rowOff>0</xdr:rowOff>
    </xdr:to>
    <xdr:cxnSp macro="">
      <xdr:nvCxnSpPr>
        <xdr:cNvPr id="12" name="Connecteur droit avec flèche 11">
          <a:extLst>
            <a:ext uri="{FF2B5EF4-FFF2-40B4-BE49-F238E27FC236}">
              <a16:creationId xmlns:a16="http://schemas.microsoft.com/office/drawing/2014/main" id="{BA50A273-D288-4FB0-BE29-CA218159337E}"/>
            </a:ext>
          </a:extLst>
        </xdr:cNvPr>
        <xdr:cNvCxnSpPr/>
      </xdr:nvCxnSpPr>
      <xdr:spPr>
        <a:xfrm>
          <a:off x="2688959" y="19272219"/>
          <a:ext cx="0" cy="185057"/>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166</xdr:row>
      <xdr:rowOff>6569</xdr:rowOff>
    </xdr:from>
    <xdr:to>
      <xdr:col>6</xdr:col>
      <xdr:colOff>433553</xdr:colOff>
      <xdr:row>170</xdr:row>
      <xdr:rowOff>26276</xdr:rowOff>
    </xdr:to>
    <xdr:cxnSp macro="">
      <xdr:nvCxnSpPr>
        <xdr:cNvPr id="14" name="Connecteur droit avec flèche 13">
          <a:extLst>
            <a:ext uri="{FF2B5EF4-FFF2-40B4-BE49-F238E27FC236}">
              <a16:creationId xmlns:a16="http://schemas.microsoft.com/office/drawing/2014/main" id="{096B13AD-456D-4178-A854-9FD7C218C06F}"/>
            </a:ext>
          </a:extLst>
        </xdr:cNvPr>
        <xdr:cNvCxnSpPr/>
      </xdr:nvCxnSpPr>
      <xdr:spPr>
        <a:xfrm flipH="1">
          <a:off x="3803431" y="28988845"/>
          <a:ext cx="440122" cy="781707"/>
        </a:xfrm>
        <a:prstGeom prst="straightConnector1">
          <a:avLst/>
        </a:prstGeom>
        <a:ln>
          <a:prstDash val="dash"/>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212459</xdr:colOff>
      <xdr:row>7</xdr:row>
      <xdr:rowOff>43961</xdr:rowOff>
    </xdr:from>
    <xdr:to>
      <xdr:col>5</xdr:col>
      <xdr:colOff>593459</xdr:colOff>
      <xdr:row>9</xdr:row>
      <xdr:rowOff>0</xdr:rowOff>
    </xdr:to>
    <xdr:sp macro="" textlink="">
      <xdr:nvSpPr>
        <xdr:cNvPr id="2" name="Flèche : bas 1">
          <a:extLst>
            <a:ext uri="{FF2B5EF4-FFF2-40B4-BE49-F238E27FC236}">
              <a16:creationId xmlns:a16="http://schemas.microsoft.com/office/drawing/2014/main" id="{63F8F94C-98EF-4DA5-ABEB-08A12987565F}"/>
            </a:ext>
          </a:extLst>
        </xdr:cNvPr>
        <xdr:cNvSpPr/>
      </xdr:nvSpPr>
      <xdr:spPr>
        <a:xfrm>
          <a:off x="3250934" y="1386986"/>
          <a:ext cx="381000" cy="346564"/>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6</xdr:col>
      <xdr:colOff>196130</xdr:colOff>
      <xdr:row>7</xdr:row>
      <xdr:rowOff>43961</xdr:rowOff>
    </xdr:from>
    <xdr:to>
      <xdr:col>6</xdr:col>
      <xdr:colOff>577130</xdr:colOff>
      <xdr:row>9</xdr:row>
      <xdr:rowOff>0</xdr:rowOff>
    </xdr:to>
    <xdr:sp macro="" textlink="">
      <xdr:nvSpPr>
        <xdr:cNvPr id="3" name="Flèche : bas 2">
          <a:extLst>
            <a:ext uri="{FF2B5EF4-FFF2-40B4-BE49-F238E27FC236}">
              <a16:creationId xmlns:a16="http://schemas.microsoft.com/office/drawing/2014/main" id="{E1BCB6D2-1E73-4C1E-AB24-7AFFD76210A8}"/>
            </a:ext>
          </a:extLst>
        </xdr:cNvPr>
        <xdr:cNvSpPr/>
      </xdr:nvSpPr>
      <xdr:spPr>
        <a:xfrm>
          <a:off x="4006130" y="1386986"/>
          <a:ext cx="381000" cy="346564"/>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370114</xdr:colOff>
      <xdr:row>97</xdr:row>
      <xdr:rowOff>5443</xdr:rowOff>
    </xdr:from>
    <xdr:to>
      <xdr:col>4</xdr:col>
      <xdr:colOff>370114</xdr:colOff>
      <xdr:row>98</xdr:row>
      <xdr:rowOff>0</xdr:rowOff>
    </xdr:to>
    <xdr:cxnSp macro="">
      <xdr:nvCxnSpPr>
        <xdr:cNvPr id="4" name="Connecteur droit avec flèche 3">
          <a:extLst>
            <a:ext uri="{FF2B5EF4-FFF2-40B4-BE49-F238E27FC236}">
              <a16:creationId xmlns:a16="http://schemas.microsoft.com/office/drawing/2014/main" id="{58C49A81-5468-444D-A2AA-6B1C2FF938DB}"/>
            </a:ext>
          </a:extLst>
        </xdr:cNvPr>
        <xdr:cNvCxnSpPr/>
      </xdr:nvCxnSpPr>
      <xdr:spPr>
        <a:xfrm>
          <a:off x="2684689" y="19074493"/>
          <a:ext cx="0" cy="185057"/>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370114</xdr:colOff>
      <xdr:row>111</xdr:row>
      <xdr:rowOff>5443</xdr:rowOff>
    </xdr:from>
    <xdr:to>
      <xdr:col>4</xdr:col>
      <xdr:colOff>370114</xdr:colOff>
      <xdr:row>112</xdr:row>
      <xdr:rowOff>0</xdr:rowOff>
    </xdr:to>
    <xdr:cxnSp macro="">
      <xdr:nvCxnSpPr>
        <xdr:cNvPr id="6" name="Connecteur droit avec flèche 5">
          <a:extLst>
            <a:ext uri="{FF2B5EF4-FFF2-40B4-BE49-F238E27FC236}">
              <a16:creationId xmlns:a16="http://schemas.microsoft.com/office/drawing/2014/main" id="{D310B796-07DB-438B-BBCA-0F1F165553F5}"/>
            </a:ext>
          </a:extLst>
        </xdr:cNvPr>
        <xdr:cNvCxnSpPr/>
      </xdr:nvCxnSpPr>
      <xdr:spPr>
        <a:xfrm>
          <a:off x="2684689" y="21741493"/>
          <a:ext cx="0" cy="185057"/>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212459</xdr:colOff>
      <xdr:row>123</xdr:row>
      <xdr:rowOff>43961</xdr:rowOff>
    </xdr:from>
    <xdr:to>
      <xdr:col>5</xdr:col>
      <xdr:colOff>593459</xdr:colOff>
      <xdr:row>125</xdr:row>
      <xdr:rowOff>0</xdr:rowOff>
    </xdr:to>
    <xdr:sp macro="" textlink="">
      <xdr:nvSpPr>
        <xdr:cNvPr id="7" name="Flèche : bas 6">
          <a:extLst>
            <a:ext uri="{FF2B5EF4-FFF2-40B4-BE49-F238E27FC236}">
              <a16:creationId xmlns:a16="http://schemas.microsoft.com/office/drawing/2014/main" id="{6B0C9A43-3FE5-4DD7-95C5-A524C5E33609}"/>
            </a:ext>
          </a:extLst>
        </xdr:cNvPr>
        <xdr:cNvSpPr/>
      </xdr:nvSpPr>
      <xdr:spPr>
        <a:xfrm>
          <a:off x="3250934" y="24256511"/>
          <a:ext cx="381000" cy="337039"/>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6</xdr:col>
      <xdr:colOff>196130</xdr:colOff>
      <xdr:row>123</xdr:row>
      <xdr:rowOff>43961</xdr:rowOff>
    </xdr:from>
    <xdr:to>
      <xdr:col>6</xdr:col>
      <xdr:colOff>577130</xdr:colOff>
      <xdr:row>125</xdr:row>
      <xdr:rowOff>0</xdr:rowOff>
    </xdr:to>
    <xdr:sp macro="" textlink="">
      <xdr:nvSpPr>
        <xdr:cNvPr id="8" name="Flèche : bas 7">
          <a:extLst>
            <a:ext uri="{FF2B5EF4-FFF2-40B4-BE49-F238E27FC236}">
              <a16:creationId xmlns:a16="http://schemas.microsoft.com/office/drawing/2014/main" id="{7A284E0E-8C2E-4EA0-AF56-A338D4BB3FC3}"/>
            </a:ext>
          </a:extLst>
        </xdr:cNvPr>
        <xdr:cNvSpPr/>
      </xdr:nvSpPr>
      <xdr:spPr>
        <a:xfrm>
          <a:off x="4006130" y="24256511"/>
          <a:ext cx="381000" cy="337039"/>
        </a:xfrm>
        <a:prstGeom prst="down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370114</xdr:colOff>
      <xdr:row>194</xdr:row>
      <xdr:rowOff>5443</xdr:rowOff>
    </xdr:from>
    <xdr:to>
      <xdr:col>4</xdr:col>
      <xdr:colOff>370114</xdr:colOff>
      <xdr:row>195</xdr:row>
      <xdr:rowOff>0</xdr:rowOff>
    </xdr:to>
    <xdr:cxnSp macro="">
      <xdr:nvCxnSpPr>
        <xdr:cNvPr id="9" name="Connecteur droit avec flèche 8">
          <a:extLst>
            <a:ext uri="{FF2B5EF4-FFF2-40B4-BE49-F238E27FC236}">
              <a16:creationId xmlns:a16="http://schemas.microsoft.com/office/drawing/2014/main" id="{221B1E66-8A8F-44CC-A13E-5D954D4DB8A0}"/>
            </a:ext>
          </a:extLst>
        </xdr:cNvPr>
        <xdr:cNvCxnSpPr/>
      </xdr:nvCxnSpPr>
      <xdr:spPr>
        <a:xfrm>
          <a:off x="2684689" y="37933993"/>
          <a:ext cx="0" cy="185057"/>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167</xdr:row>
      <xdr:rowOff>6569</xdr:rowOff>
    </xdr:from>
    <xdr:to>
      <xdr:col>6</xdr:col>
      <xdr:colOff>433553</xdr:colOff>
      <xdr:row>171</xdr:row>
      <xdr:rowOff>26276</xdr:rowOff>
    </xdr:to>
    <xdr:cxnSp macro="">
      <xdr:nvCxnSpPr>
        <xdr:cNvPr id="10" name="Connecteur droit avec flèche 9">
          <a:extLst>
            <a:ext uri="{FF2B5EF4-FFF2-40B4-BE49-F238E27FC236}">
              <a16:creationId xmlns:a16="http://schemas.microsoft.com/office/drawing/2014/main" id="{DC7E89C7-0BDD-4759-A830-28AF36418942}"/>
            </a:ext>
          </a:extLst>
        </xdr:cNvPr>
        <xdr:cNvCxnSpPr/>
      </xdr:nvCxnSpPr>
      <xdr:spPr>
        <a:xfrm flipH="1">
          <a:off x="3800475" y="32791619"/>
          <a:ext cx="443078" cy="781707"/>
        </a:xfrm>
        <a:prstGeom prst="straightConnector1">
          <a:avLst/>
        </a:prstGeom>
        <a:ln>
          <a:prstDash val="dash"/>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240519</xdr:colOff>
      <xdr:row>18</xdr:row>
      <xdr:rowOff>107674</xdr:rowOff>
    </xdr:from>
    <xdr:to>
      <xdr:col>5</xdr:col>
      <xdr:colOff>563540</xdr:colOff>
      <xdr:row>26</xdr:row>
      <xdr:rowOff>107674</xdr:rowOff>
    </xdr:to>
    <xdr:cxnSp macro="">
      <xdr:nvCxnSpPr>
        <xdr:cNvPr id="2" name="Connecteur droit avec flèche 1">
          <a:extLst>
            <a:ext uri="{FF2B5EF4-FFF2-40B4-BE49-F238E27FC236}">
              <a16:creationId xmlns:a16="http://schemas.microsoft.com/office/drawing/2014/main" id="{E067A250-012B-498F-8D7D-E533B434227D}"/>
            </a:ext>
          </a:extLst>
        </xdr:cNvPr>
        <xdr:cNvCxnSpPr/>
      </xdr:nvCxnSpPr>
      <xdr:spPr>
        <a:xfrm>
          <a:off x="2755119" y="3784324"/>
          <a:ext cx="2913821" cy="160020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720587</xdr:colOff>
      <xdr:row>49</xdr:row>
      <xdr:rowOff>8283</xdr:rowOff>
    </xdr:from>
    <xdr:to>
      <xdr:col>5</xdr:col>
      <xdr:colOff>753717</xdr:colOff>
      <xdr:row>53</xdr:row>
      <xdr:rowOff>132522</xdr:rowOff>
    </xdr:to>
    <xdr:sp macro="" textlink="">
      <xdr:nvSpPr>
        <xdr:cNvPr id="3" name="Rectangle 2">
          <a:extLst>
            <a:ext uri="{FF2B5EF4-FFF2-40B4-BE49-F238E27FC236}">
              <a16:creationId xmlns:a16="http://schemas.microsoft.com/office/drawing/2014/main" id="{4449F277-1CD6-4E8D-9EB2-C739D10CD341}"/>
            </a:ext>
          </a:extLst>
        </xdr:cNvPr>
        <xdr:cNvSpPr/>
      </xdr:nvSpPr>
      <xdr:spPr>
        <a:xfrm>
          <a:off x="4911587" y="9904758"/>
          <a:ext cx="947530" cy="924339"/>
        </a:xfrm>
        <a:prstGeom prst="wedgeRectCallout">
          <a:avLst>
            <a:gd name="adj1" fmla="val -80455"/>
            <a:gd name="adj2" fmla="val -32649"/>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chemeClr val="tx1"/>
              </a:solidFill>
              <a:latin typeface="Times New Roman" panose="02020603050405020304" pitchFamily="18" charset="0"/>
              <a:cs typeface="Times New Roman" panose="02020603050405020304" pitchFamily="18" charset="0"/>
            </a:rPr>
            <a:t>Point 5 du volume: Les situations particulières</a:t>
          </a:r>
        </a:p>
      </xdr:txBody>
    </xdr:sp>
    <xdr:clientData/>
  </xdr:twoCellAnchor>
  <xdr:twoCellAnchor>
    <xdr:from>
      <xdr:col>7</xdr:col>
      <xdr:colOff>144570</xdr:colOff>
      <xdr:row>5</xdr:row>
      <xdr:rowOff>11215</xdr:rowOff>
    </xdr:from>
    <xdr:to>
      <xdr:col>12</xdr:col>
      <xdr:colOff>886564</xdr:colOff>
      <xdr:row>6</xdr:row>
      <xdr:rowOff>1922</xdr:rowOff>
    </xdr:to>
    <xdr:sp macro="" textlink="">
      <xdr:nvSpPr>
        <xdr:cNvPr id="4" name="Rectangle 3">
          <a:extLst>
            <a:ext uri="{FF2B5EF4-FFF2-40B4-BE49-F238E27FC236}">
              <a16:creationId xmlns:a16="http://schemas.microsoft.com/office/drawing/2014/main" id="{7A3F3285-64B0-43B8-AF3F-47F4FAF01215}"/>
            </a:ext>
          </a:extLst>
        </xdr:cNvPr>
        <xdr:cNvSpPr/>
      </xdr:nvSpPr>
      <xdr:spPr>
        <a:xfrm>
          <a:off x="6592995" y="1087540"/>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6</xdr:row>
      <xdr:rowOff>11215</xdr:rowOff>
    </xdr:from>
    <xdr:to>
      <xdr:col>12</xdr:col>
      <xdr:colOff>886564</xdr:colOff>
      <xdr:row>7</xdr:row>
      <xdr:rowOff>1922</xdr:rowOff>
    </xdr:to>
    <xdr:sp macro="" textlink="">
      <xdr:nvSpPr>
        <xdr:cNvPr id="5" name="Rectangle 4">
          <a:extLst>
            <a:ext uri="{FF2B5EF4-FFF2-40B4-BE49-F238E27FC236}">
              <a16:creationId xmlns:a16="http://schemas.microsoft.com/office/drawing/2014/main" id="{2FD357C8-C47E-42A0-99FF-8CC0AD0BA8CA}"/>
            </a:ext>
          </a:extLst>
        </xdr:cNvPr>
        <xdr:cNvSpPr/>
      </xdr:nvSpPr>
      <xdr:spPr>
        <a:xfrm>
          <a:off x="6592995" y="12875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7</xdr:row>
      <xdr:rowOff>11215</xdr:rowOff>
    </xdr:from>
    <xdr:to>
      <xdr:col>12</xdr:col>
      <xdr:colOff>886564</xdr:colOff>
      <xdr:row>8</xdr:row>
      <xdr:rowOff>1921</xdr:rowOff>
    </xdr:to>
    <xdr:sp macro="" textlink="">
      <xdr:nvSpPr>
        <xdr:cNvPr id="6" name="Rectangle 5">
          <a:extLst>
            <a:ext uri="{FF2B5EF4-FFF2-40B4-BE49-F238E27FC236}">
              <a16:creationId xmlns:a16="http://schemas.microsoft.com/office/drawing/2014/main" id="{86C4433B-62A6-4645-BEDF-C6C80627E4EE}"/>
            </a:ext>
          </a:extLst>
        </xdr:cNvPr>
        <xdr:cNvSpPr/>
      </xdr:nvSpPr>
      <xdr:spPr>
        <a:xfrm>
          <a:off x="6592995" y="14875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8</xdr:row>
      <xdr:rowOff>5261</xdr:rowOff>
    </xdr:from>
    <xdr:to>
      <xdr:col>12</xdr:col>
      <xdr:colOff>886564</xdr:colOff>
      <xdr:row>8</xdr:row>
      <xdr:rowOff>198374</xdr:rowOff>
    </xdr:to>
    <xdr:sp macro="" textlink="">
      <xdr:nvSpPr>
        <xdr:cNvPr id="7" name="Rectangle 6">
          <a:extLst>
            <a:ext uri="{FF2B5EF4-FFF2-40B4-BE49-F238E27FC236}">
              <a16:creationId xmlns:a16="http://schemas.microsoft.com/office/drawing/2014/main" id="{4F76B100-D5A2-4D72-B9F0-4D3E773EEEC6}"/>
            </a:ext>
          </a:extLst>
        </xdr:cNvPr>
        <xdr:cNvSpPr/>
      </xdr:nvSpPr>
      <xdr:spPr>
        <a:xfrm>
          <a:off x="6592995" y="16816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9</xdr:row>
      <xdr:rowOff>5261</xdr:rowOff>
    </xdr:from>
    <xdr:to>
      <xdr:col>12</xdr:col>
      <xdr:colOff>886564</xdr:colOff>
      <xdr:row>9</xdr:row>
      <xdr:rowOff>198374</xdr:rowOff>
    </xdr:to>
    <xdr:sp macro="" textlink="">
      <xdr:nvSpPr>
        <xdr:cNvPr id="8" name="Rectangle 7">
          <a:extLst>
            <a:ext uri="{FF2B5EF4-FFF2-40B4-BE49-F238E27FC236}">
              <a16:creationId xmlns:a16="http://schemas.microsoft.com/office/drawing/2014/main" id="{65DFC545-225C-4D29-977F-7F0EF7F70412}"/>
            </a:ext>
          </a:extLst>
        </xdr:cNvPr>
        <xdr:cNvSpPr/>
      </xdr:nvSpPr>
      <xdr:spPr>
        <a:xfrm>
          <a:off x="6592995" y="18816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10</xdr:row>
      <xdr:rowOff>11215</xdr:rowOff>
    </xdr:from>
    <xdr:to>
      <xdr:col>12</xdr:col>
      <xdr:colOff>886564</xdr:colOff>
      <xdr:row>11</xdr:row>
      <xdr:rowOff>1922</xdr:rowOff>
    </xdr:to>
    <xdr:sp macro="" textlink="">
      <xdr:nvSpPr>
        <xdr:cNvPr id="9" name="Rectangle 8">
          <a:extLst>
            <a:ext uri="{FF2B5EF4-FFF2-40B4-BE49-F238E27FC236}">
              <a16:creationId xmlns:a16="http://schemas.microsoft.com/office/drawing/2014/main" id="{FFE7A757-03D4-4331-B671-E46F7C7A54AC}"/>
            </a:ext>
          </a:extLst>
        </xdr:cNvPr>
        <xdr:cNvSpPr/>
      </xdr:nvSpPr>
      <xdr:spPr>
        <a:xfrm>
          <a:off x="6592995" y="20876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11</xdr:row>
      <xdr:rowOff>11215</xdr:rowOff>
    </xdr:from>
    <xdr:to>
      <xdr:col>12</xdr:col>
      <xdr:colOff>886564</xdr:colOff>
      <xdr:row>12</xdr:row>
      <xdr:rowOff>1921</xdr:rowOff>
    </xdr:to>
    <xdr:sp macro="" textlink="">
      <xdr:nvSpPr>
        <xdr:cNvPr id="10" name="Rectangle 9">
          <a:extLst>
            <a:ext uri="{FF2B5EF4-FFF2-40B4-BE49-F238E27FC236}">
              <a16:creationId xmlns:a16="http://schemas.microsoft.com/office/drawing/2014/main" id="{936873C9-F824-47BC-9DA2-0EAF067ECD76}"/>
            </a:ext>
          </a:extLst>
        </xdr:cNvPr>
        <xdr:cNvSpPr/>
      </xdr:nvSpPr>
      <xdr:spPr>
        <a:xfrm>
          <a:off x="6592995" y="22876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12</xdr:row>
      <xdr:rowOff>11214</xdr:rowOff>
    </xdr:from>
    <xdr:to>
      <xdr:col>12</xdr:col>
      <xdr:colOff>886564</xdr:colOff>
      <xdr:row>13</xdr:row>
      <xdr:rowOff>1921</xdr:rowOff>
    </xdr:to>
    <xdr:sp macro="" textlink="">
      <xdr:nvSpPr>
        <xdr:cNvPr id="11" name="Rectangle 10">
          <a:extLst>
            <a:ext uri="{FF2B5EF4-FFF2-40B4-BE49-F238E27FC236}">
              <a16:creationId xmlns:a16="http://schemas.microsoft.com/office/drawing/2014/main" id="{D8D68984-63A6-4D2B-B32E-EE8183CA14ED}"/>
            </a:ext>
          </a:extLst>
        </xdr:cNvPr>
        <xdr:cNvSpPr/>
      </xdr:nvSpPr>
      <xdr:spPr>
        <a:xfrm>
          <a:off x="6592995" y="2487714"/>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13</xdr:row>
      <xdr:rowOff>5261</xdr:rowOff>
    </xdr:from>
    <xdr:to>
      <xdr:col>12</xdr:col>
      <xdr:colOff>886564</xdr:colOff>
      <xdr:row>13</xdr:row>
      <xdr:rowOff>198374</xdr:rowOff>
    </xdr:to>
    <xdr:sp macro="" textlink="">
      <xdr:nvSpPr>
        <xdr:cNvPr id="12" name="Rectangle 11">
          <a:extLst>
            <a:ext uri="{FF2B5EF4-FFF2-40B4-BE49-F238E27FC236}">
              <a16:creationId xmlns:a16="http://schemas.microsoft.com/office/drawing/2014/main" id="{FD0AF5C9-B7A7-48A4-9116-0065857F093D}"/>
            </a:ext>
          </a:extLst>
        </xdr:cNvPr>
        <xdr:cNvSpPr/>
      </xdr:nvSpPr>
      <xdr:spPr>
        <a:xfrm>
          <a:off x="6592995" y="26817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14</xdr:row>
      <xdr:rowOff>5262</xdr:rowOff>
    </xdr:from>
    <xdr:to>
      <xdr:col>12</xdr:col>
      <xdr:colOff>886564</xdr:colOff>
      <xdr:row>14</xdr:row>
      <xdr:rowOff>198375</xdr:rowOff>
    </xdr:to>
    <xdr:sp macro="" textlink="">
      <xdr:nvSpPr>
        <xdr:cNvPr id="13" name="Rectangle 12">
          <a:extLst>
            <a:ext uri="{FF2B5EF4-FFF2-40B4-BE49-F238E27FC236}">
              <a16:creationId xmlns:a16="http://schemas.microsoft.com/office/drawing/2014/main" id="{E67D7C72-CDBB-4B8A-AE8B-222DA2B6F2F1}"/>
            </a:ext>
          </a:extLst>
        </xdr:cNvPr>
        <xdr:cNvSpPr/>
      </xdr:nvSpPr>
      <xdr:spPr>
        <a:xfrm>
          <a:off x="6592995" y="2881812"/>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15</xdr:row>
      <xdr:rowOff>5262</xdr:rowOff>
    </xdr:from>
    <xdr:to>
      <xdr:col>12</xdr:col>
      <xdr:colOff>886564</xdr:colOff>
      <xdr:row>15</xdr:row>
      <xdr:rowOff>198375</xdr:rowOff>
    </xdr:to>
    <xdr:sp macro="" textlink="">
      <xdr:nvSpPr>
        <xdr:cNvPr id="14" name="Rectangle 13">
          <a:extLst>
            <a:ext uri="{FF2B5EF4-FFF2-40B4-BE49-F238E27FC236}">
              <a16:creationId xmlns:a16="http://schemas.microsoft.com/office/drawing/2014/main" id="{8EFDF785-BBA8-4A68-A8ED-2ADDD7A05B81}"/>
            </a:ext>
          </a:extLst>
        </xdr:cNvPr>
        <xdr:cNvSpPr/>
      </xdr:nvSpPr>
      <xdr:spPr>
        <a:xfrm>
          <a:off x="6592995" y="30818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16</xdr:row>
      <xdr:rowOff>5261</xdr:rowOff>
    </xdr:from>
    <xdr:to>
      <xdr:col>12</xdr:col>
      <xdr:colOff>886564</xdr:colOff>
      <xdr:row>16</xdr:row>
      <xdr:rowOff>198374</xdr:rowOff>
    </xdr:to>
    <xdr:sp macro="" textlink="">
      <xdr:nvSpPr>
        <xdr:cNvPr id="15" name="Rectangle 14">
          <a:extLst>
            <a:ext uri="{FF2B5EF4-FFF2-40B4-BE49-F238E27FC236}">
              <a16:creationId xmlns:a16="http://schemas.microsoft.com/office/drawing/2014/main" id="{5FD46869-484E-4D58-B089-CCD4CEC189D3}"/>
            </a:ext>
          </a:extLst>
        </xdr:cNvPr>
        <xdr:cNvSpPr/>
      </xdr:nvSpPr>
      <xdr:spPr>
        <a:xfrm>
          <a:off x="6592995" y="32818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18</xdr:row>
      <xdr:rowOff>2932</xdr:rowOff>
    </xdr:from>
    <xdr:to>
      <xdr:col>12</xdr:col>
      <xdr:colOff>886564</xdr:colOff>
      <xdr:row>18</xdr:row>
      <xdr:rowOff>192422</xdr:rowOff>
    </xdr:to>
    <xdr:sp macro="" textlink="">
      <xdr:nvSpPr>
        <xdr:cNvPr id="16" name="Rectangle 15">
          <a:extLst>
            <a:ext uri="{FF2B5EF4-FFF2-40B4-BE49-F238E27FC236}">
              <a16:creationId xmlns:a16="http://schemas.microsoft.com/office/drawing/2014/main" id="{0155B26D-9507-4714-A771-236094351206}"/>
            </a:ext>
          </a:extLst>
        </xdr:cNvPr>
        <xdr:cNvSpPr/>
      </xdr:nvSpPr>
      <xdr:spPr>
        <a:xfrm>
          <a:off x="6592995" y="3679582"/>
          <a:ext cx="5694994" cy="18949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19</xdr:row>
      <xdr:rowOff>5262</xdr:rowOff>
    </xdr:from>
    <xdr:to>
      <xdr:col>12</xdr:col>
      <xdr:colOff>886564</xdr:colOff>
      <xdr:row>19</xdr:row>
      <xdr:rowOff>198375</xdr:rowOff>
    </xdr:to>
    <xdr:sp macro="" textlink="">
      <xdr:nvSpPr>
        <xdr:cNvPr id="17" name="Rectangle 16">
          <a:extLst>
            <a:ext uri="{FF2B5EF4-FFF2-40B4-BE49-F238E27FC236}">
              <a16:creationId xmlns:a16="http://schemas.microsoft.com/office/drawing/2014/main" id="{9AC8BE3B-96F1-4AD7-9A2C-1486EF482F09}"/>
            </a:ext>
          </a:extLst>
        </xdr:cNvPr>
        <xdr:cNvSpPr/>
      </xdr:nvSpPr>
      <xdr:spPr>
        <a:xfrm>
          <a:off x="6592995" y="38819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20</xdr:row>
      <xdr:rowOff>5261</xdr:rowOff>
    </xdr:from>
    <xdr:to>
      <xdr:col>12</xdr:col>
      <xdr:colOff>886564</xdr:colOff>
      <xdr:row>20</xdr:row>
      <xdr:rowOff>198374</xdr:rowOff>
    </xdr:to>
    <xdr:sp macro="" textlink="">
      <xdr:nvSpPr>
        <xdr:cNvPr id="18" name="Rectangle 17">
          <a:extLst>
            <a:ext uri="{FF2B5EF4-FFF2-40B4-BE49-F238E27FC236}">
              <a16:creationId xmlns:a16="http://schemas.microsoft.com/office/drawing/2014/main" id="{77E06B1A-D6B9-449F-A193-75A362C663E5}"/>
            </a:ext>
          </a:extLst>
        </xdr:cNvPr>
        <xdr:cNvSpPr/>
      </xdr:nvSpPr>
      <xdr:spPr>
        <a:xfrm>
          <a:off x="6592995" y="40819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26</xdr:row>
      <xdr:rowOff>5262</xdr:rowOff>
    </xdr:from>
    <xdr:to>
      <xdr:col>12</xdr:col>
      <xdr:colOff>886564</xdr:colOff>
      <xdr:row>28</xdr:row>
      <xdr:rowOff>0</xdr:rowOff>
    </xdr:to>
    <xdr:sp macro="" textlink="">
      <xdr:nvSpPr>
        <xdr:cNvPr id="19" name="Rectangle 18">
          <a:extLst>
            <a:ext uri="{FF2B5EF4-FFF2-40B4-BE49-F238E27FC236}">
              <a16:creationId xmlns:a16="http://schemas.microsoft.com/office/drawing/2014/main" id="{B30AC799-5ABA-49C0-8545-225552B81E13}"/>
            </a:ext>
          </a:extLst>
        </xdr:cNvPr>
        <xdr:cNvSpPr/>
      </xdr:nvSpPr>
      <xdr:spPr>
        <a:xfrm>
          <a:off x="6592995" y="5282112"/>
          <a:ext cx="5694994" cy="413838"/>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10</xdr:col>
      <xdr:colOff>20886</xdr:colOff>
      <xdr:row>22</xdr:row>
      <xdr:rowOff>5261</xdr:rowOff>
    </xdr:from>
    <xdr:to>
      <xdr:col>12</xdr:col>
      <xdr:colOff>886563</xdr:colOff>
      <xdr:row>22</xdr:row>
      <xdr:rowOff>198374</xdr:rowOff>
    </xdr:to>
    <xdr:sp macro="" textlink="">
      <xdr:nvSpPr>
        <xdr:cNvPr id="20" name="Rectangle 19">
          <a:extLst>
            <a:ext uri="{FF2B5EF4-FFF2-40B4-BE49-F238E27FC236}">
              <a16:creationId xmlns:a16="http://schemas.microsoft.com/office/drawing/2014/main" id="{104F37C7-B523-4A16-B598-3F4969DFB241}"/>
            </a:ext>
          </a:extLst>
        </xdr:cNvPr>
        <xdr:cNvSpPr/>
      </xdr:nvSpPr>
      <xdr:spPr>
        <a:xfrm>
          <a:off x="9441111" y="4472486"/>
          <a:ext cx="2846877"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5</xdr:row>
      <xdr:rowOff>47392</xdr:rowOff>
    </xdr:from>
    <xdr:to>
      <xdr:col>1</xdr:col>
      <xdr:colOff>2363</xdr:colOff>
      <xdr:row>5</xdr:row>
      <xdr:rowOff>157975</xdr:rowOff>
    </xdr:to>
    <xdr:sp macro="" textlink="">
      <xdr:nvSpPr>
        <xdr:cNvPr id="21" name="Ellipse 20">
          <a:extLst>
            <a:ext uri="{FF2B5EF4-FFF2-40B4-BE49-F238E27FC236}">
              <a16:creationId xmlns:a16="http://schemas.microsoft.com/office/drawing/2014/main" id="{AEE5771E-7F37-421F-8781-610EF00A938F}"/>
            </a:ext>
          </a:extLst>
        </xdr:cNvPr>
        <xdr:cNvSpPr/>
      </xdr:nvSpPr>
      <xdr:spPr>
        <a:xfrm>
          <a:off x="424543" y="1123717"/>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6</xdr:row>
      <xdr:rowOff>47392</xdr:rowOff>
    </xdr:from>
    <xdr:to>
      <xdr:col>1</xdr:col>
      <xdr:colOff>2363</xdr:colOff>
      <xdr:row>6</xdr:row>
      <xdr:rowOff>157975</xdr:rowOff>
    </xdr:to>
    <xdr:sp macro="" textlink="">
      <xdr:nvSpPr>
        <xdr:cNvPr id="22" name="Ellipse 21">
          <a:extLst>
            <a:ext uri="{FF2B5EF4-FFF2-40B4-BE49-F238E27FC236}">
              <a16:creationId xmlns:a16="http://schemas.microsoft.com/office/drawing/2014/main" id="{01C3F508-1645-4E67-943A-DC1EC86CA61A}"/>
            </a:ext>
          </a:extLst>
        </xdr:cNvPr>
        <xdr:cNvSpPr/>
      </xdr:nvSpPr>
      <xdr:spPr>
        <a:xfrm>
          <a:off x="424543" y="1323742"/>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10</xdr:row>
      <xdr:rowOff>49169</xdr:rowOff>
    </xdr:from>
    <xdr:to>
      <xdr:col>1</xdr:col>
      <xdr:colOff>2363</xdr:colOff>
      <xdr:row>10</xdr:row>
      <xdr:rowOff>159752</xdr:rowOff>
    </xdr:to>
    <xdr:sp macro="" textlink="">
      <xdr:nvSpPr>
        <xdr:cNvPr id="23" name="Ellipse 22">
          <a:extLst>
            <a:ext uri="{FF2B5EF4-FFF2-40B4-BE49-F238E27FC236}">
              <a16:creationId xmlns:a16="http://schemas.microsoft.com/office/drawing/2014/main" id="{AA4AA597-C8C7-4973-B656-B58D9699B6C1}"/>
            </a:ext>
          </a:extLst>
        </xdr:cNvPr>
        <xdr:cNvSpPr/>
      </xdr:nvSpPr>
      <xdr:spPr>
        <a:xfrm>
          <a:off x="424543" y="2125619"/>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9</xdr:row>
      <xdr:rowOff>42746</xdr:rowOff>
    </xdr:from>
    <xdr:to>
      <xdr:col>1</xdr:col>
      <xdr:colOff>2363</xdr:colOff>
      <xdr:row>9</xdr:row>
      <xdr:rowOff>153329</xdr:rowOff>
    </xdr:to>
    <xdr:sp macro="" textlink="">
      <xdr:nvSpPr>
        <xdr:cNvPr id="24" name="Ellipse 23">
          <a:extLst>
            <a:ext uri="{FF2B5EF4-FFF2-40B4-BE49-F238E27FC236}">
              <a16:creationId xmlns:a16="http://schemas.microsoft.com/office/drawing/2014/main" id="{073ACBC4-1499-48F1-9EB1-BA425CB9BC29}"/>
            </a:ext>
          </a:extLst>
        </xdr:cNvPr>
        <xdr:cNvSpPr/>
      </xdr:nvSpPr>
      <xdr:spPr>
        <a:xfrm>
          <a:off x="424543" y="191917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15</xdr:row>
      <xdr:rowOff>42746</xdr:rowOff>
    </xdr:from>
    <xdr:to>
      <xdr:col>1</xdr:col>
      <xdr:colOff>2363</xdr:colOff>
      <xdr:row>15</xdr:row>
      <xdr:rowOff>153329</xdr:rowOff>
    </xdr:to>
    <xdr:sp macro="" textlink="">
      <xdr:nvSpPr>
        <xdr:cNvPr id="25" name="Ellipse 24">
          <a:extLst>
            <a:ext uri="{FF2B5EF4-FFF2-40B4-BE49-F238E27FC236}">
              <a16:creationId xmlns:a16="http://schemas.microsoft.com/office/drawing/2014/main" id="{E1367C0F-F885-4B52-9CB6-6A895609493C}"/>
            </a:ext>
          </a:extLst>
        </xdr:cNvPr>
        <xdr:cNvSpPr/>
      </xdr:nvSpPr>
      <xdr:spPr>
        <a:xfrm>
          <a:off x="424543" y="31193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16</xdr:row>
      <xdr:rowOff>42746</xdr:rowOff>
    </xdr:from>
    <xdr:to>
      <xdr:col>1</xdr:col>
      <xdr:colOff>2363</xdr:colOff>
      <xdr:row>16</xdr:row>
      <xdr:rowOff>153329</xdr:rowOff>
    </xdr:to>
    <xdr:sp macro="" textlink="">
      <xdr:nvSpPr>
        <xdr:cNvPr id="26" name="Ellipse 25">
          <a:extLst>
            <a:ext uri="{FF2B5EF4-FFF2-40B4-BE49-F238E27FC236}">
              <a16:creationId xmlns:a16="http://schemas.microsoft.com/office/drawing/2014/main" id="{84CC2BF8-633C-49A9-9780-A3169BC337DA}"/>
            </a:ext>
          </a:extLst>
        </xdr:cNvPr>
        <xdr:cNvSpPr/>
      </xdr:nvSpPr>
      <xdr:spPr>
        <a:xfrm>
          <a:off x="424543" y="3319346"/>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19</xdr:row>
      <xdr:rowOff>42746</xdr:rowOff>
    </xdr:from>
    <xdr:to>
      <xdr:col>1</xdr:col>
      <xdr:colOff>2363</xdr:colOff>
      <xdr:row>19</xdr:row>
      <xdr:rowOff>153329</xdr:rowOff>
    </xdr:to>
    <xdr:sp macro="" textlink="">
      <xdr:nvSpPr>
        <xdr:cNvPr id="27" name="Ellipse 26">
          <a:extLst>
            <a:ext uri="{FF2B5EF4-FFF2-40B4-BE49-F238E27FC236}">
              <a16:creationId xmlns:a16="http://schemas.microsoft.com/office/drawing/2014/main" id="{FA497E9C-521B-40B3-A581-65A9778A1DDC}"/>
            </a:ext>
          </a:extLst>
        </xdr:cNvPr>
        <xdr:cNvSpPr/>
      </xdr:nvSpPr>
      <xdr:spPr>
        <a:xfrm>
          <a:off x="424543" y="39194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3"/>
  <sheetViews>
    <sheetView tabSelected="1" zoomScaleNormal="100" zoomScaleSheetLayoutView="130" workbookViewId="0"/>
  </sheetViews>
  <sheetFormatPr baseColWidth="10" defaultRowHeight="15" customHeight="1" x14ac:dyDescent="0.25"/>
  <cols>
    <col min="1" max="1" width="9.33203125" style="1" customWidth="1"/>
    <col min="2" max="2" width="9.77734375" style="1" customWidth="1"/>
    <col min="3" max="3" width="2.5546875" style="1" customWidth="1"/>
    <col min="4" max="4" width="5.33203125" style="1" bestFit="1" customWidth="1"/>
    <col min="5" max="5" width="8.44140625" style="38" customWidth="1"/>
    <col min="6" max="7" width="9" style="45" customWidth="1"/>
    <col min="8" max="8" width="14.109375" style="90" customWidth="1"/>
    <col min="9" max="9" width="17.109375" style="91" customWidth="1"/>
    <col min="10" max="10" width="2.33203125" style="1" customWidth="1"/>
    <col min="11" max="11" width="12.44140625" style="1" hidden="1" customWidth="1"/>
    <col min="12" max="12" width="8.77734375" style="1" hidden="1" customWidth="1"/>
    <col min="13" max="13" width="0" style="1" hidden="1" customWidth="1"/>
    <col min="14" max="16384" width="11.5546875" style="1"/>
  </cols>
  <sheetData>
    <row r="1" spans="1:10" ht="15" customHeight="1" x14ac:dyDescent="0.25">
      <c r="A1" s="37" t="s">
        <v>85</v>
      </c>
      <c r="B1" s="37"/>
      <c r="C1" s="37"/>
    </row>
    <row r="3" spans="1:10" ht="15" customHeight="1" x14ac:dyDescent="0.25">
      <c r="A3" s="5" t="s">
        <v>46</v>
      </c>
      <c r="B3" s="5"/>
      <c r="C3" s="5"/>
      <c r="H3" s="58"/>
      <c r="I3" s="84"/>
    </row>
    <row r="4" spans="1:10" ht="15" customHeight="1" x14ac:dyDescent="0.25">
      <c r="A4" s="5"/>
      <c r="B4" s="5"/>
      <c r="C4" s="5"/>
      <c r="H4" s="58"/>
      <c r="I4" s="84"/>
    </row>
    <row r="5" spans="1:10" ht="15" customHeight="1" x14ac:dyDescent="0.25">
      <c r="A5" s="215" t="s">
        <v>90</v>
      </c>
      <c r="B5" s="191"/>
      <c r="C5" s="191"/>
      <c r="D5" s="191"/>
      <c r="E5" s="191"/>
      <c r="F5" s="191"/>
      <c r="G5" s="191"/>
      <c r="H5" s="191"/>
      <c r="I5" s="192"/>
    </row>
    <row r="6" spans="1:10" ht="15" customHeight="1" x14ac:dyDescent="0.25">
      <c r="A6" s="5"/>
      <c r="B6" s="5"/>
      <c r="C6" s="5"/>
      <c r="H6" s="58"/>
      <c r="I6" s="84"/>
    </row>
    <row r="7" spans="1:10" ht="15.75" x14ac:dyDescent="0.25">
      <c r="A7" s="94"/>
      <c r="B7" s="95"/>
      <c r="C7" s="95"/>
      <c r="D7" s="96"/>
      <c r="E7" s="97"/>
      <c r="F7" s="98" t="s">
        <v>89</v>
      </c>
      <c r="G7" s="99" t="s">
        <v>125</v>
      </c>
      <c r="H7" s="100"/>
      <c r="I7" s="101"/>
    </row>
    <row r="8" spans="1:10" ht="15.75" x14ac:dyDescent="0.25">
      <c r="A8" s="21"/>
      <c r="B8" s="21"/>
      <c r="C8" s="21"/>
      <c r="D8" s="86"/>
      <c r="E8" s="87"/>
      <c r="F8" s="88"/>
      <c r="G8" s="89"/>
      <c r="H8" s="92"/>
      <c r="I8" s="92"/>
    </row>
    <row r="9" spans="1:10" ht="15" customHeight="1" x14ac:dyDescent="0.25">
      <c r="A9" s="47" t="s">
        <v>63</v>
      </c>
      <c r="B9" s="42"/>
      <c r="C9" s="42"/>
      <c r="D9" s="39"/>
      <c r="E9" s="43"/>
      <c r="F9" s="44"/>
      <c r="G9" s="44"/>
      <c r="H9" s="82"/>
      <c r="I9" s="82"/>
      <c r="J9" s="39"/>
    </row>
    <row r="10" spans="1:10" ht="15" customHeight="1" x14ac:dyDescent="0.25">
      <c r="A10" s="39" t="s">
        <v>45</v>
      </c>
      <c r="B10" s="39"/>
      <c r="C10" s="39"/>
      <c r="D10" s="39"/>
      <c r="E10" s="43"/>
      <c r="F10" s="44">
        <v>127000</v>
      </c>
      <c r="G10" s="44"/>
      <c r="H10" s="82"/>
      <c r="I10" s="82"/>
      <c r="J10" s="39"/>
    </row>
    <row r="11" spans="1:10" ht="15" customHeight="1" x14ac:dyDescent="0.25">
      <c r="A11" s="39"/>
      <c r="B11" s="39"/>
      <c r="C11" s="39"/>
      <c r="D11" s="39"/>
      <c r="E11" s="43"/>
      <c r="F11" s="44"/>
      <c r="G11" s="44"/>
      <c r="H11" s="82"/>
      <c r="I11" s="82"/>
      <c r="J11" s="39"/>
    </row>
    <row r="12" spans="1:10" ht="15" customHeight="1" x14ac:dyDescent="0.25">
      <c r="A12" s="39" t="s">
        <v>74</v>
      </c>
      <c r="B12" s="39"/>
      <c r="C12" s="39"/>
      <c r="D12" s="39"/>
      <c r="E12" s="43"/>
      <c r="F12" s="136">
        <f>60000*1.15</f>
        <v>69000</v>
      </c>
      <c r="G12" s="44"/>
      <c r="H12" s="82"/>
      <c r="I12" s="82"/>
      <c r="J12" s="39"/>
    </row>
    <row r="13" spans="1:10" ht="15" customHeight="1" x14ac:dyDescent="0.25">
      <c r="A13" s="39" t="s">
        <v>60</v>
      </c>
      <c r="B13" s="39"/>
      <c r="C13" s="39"/>
      <c r="D13" s="39"/>
      <c r="E13" s="43"/>
      <c r="F13" s="136">
        <f>35000*1.38</f>
        <v>48299.999999999993</v>
      </c>
      <c r="G13" s="44"/>
      <c r="H13" s="82"/>
      <c r="I13" s="82"/>
      <c r="J13" s="39"/>
    </row>
    <row r="14" spans="1:10" ht="15" customHeight="1" x14ac:dyDescent="0.25">
      <c r="A14" s="39"/>
      <c r="B14" s="39"/>
      <c r="C14" s="39"/>
      <c r="D14" s="39"/>
      <c r="E14" s="43"/>
      <c r="F14" s="44"/>
      <c r="G14" s="44"/>
      <c r="H14" s="82"/>
      <c r="I14" s="82"/>
      <c r="J14" s="39"/>
    </row>
    <row r="15" spans="1:10" ht="15" customHeight="1" x14ac:dyDescent="0.25">
      <c r="A15" s="39" t="s">
        <v>174</v>
      </c>
      <c r="B15" s="39"/>
      <c r="C15" s="39"/>
      <c r="D15" s="39"/>
      <c r="E15" s="43"/>
      <c r="F15" s="44">
        <v>10000</v>
      </c>
      <c r="G15" s="44"/>
      <c r="H15" s="82"/>
      <c r="I15" s="82"/>
      <c r="J15" s="39"/>
    </row>
    <row r="16" spans="1:10" ht="15" customHeight="1" x14ac:dyDescent="0.25">
      <c r="A16" s="39" t="s">
        <v>173</v>
      </c>
      <c r="B16" s="39"/>
      <c r="C16" s="39"/>
      <c r="D16" s="39"/>
      <c r="E16" s="43"/>
      <c r="F16" s="53">
        <v>470000</v>
      </c>
      <c r="G16" s="44"/>
      <c r="H16" s="82"/>
      <c r="I16" s="82"/>
      <c r="J16" s="39"/>
    </row>
    <row r="17" spans="1:12" ht="15" customHeight="1" x14ac:dyDescent="0.25">
      <c r="A17" s="39"/>
      <c r="B17" s="39"/>
      <c r="C17" s="39"/>
      <c r="D17" s="39"/>
      <c r="E17" s="52" t="s">
        <v>61</v>
      </c>
      <c r="F17" s="46">
        <f>SUM(F10:F16)</f>
        <v>724300</v>
      </c>
      <c r="G17" s="46"/>
      <c r="H17" s="82"/>
      <c r="I17" s="82"/>
      <c r="J17" s="39"/>
    </row>
    <row r="18" spans="1:12" ht="15" customHeight="1" x14ac:dyDescent="0.25">
      <c r="A18" s="39"/>
      <c r="B18" s="39"/>
      <c r="C18" s="39"/>
      <c r="D18" s="39"/>
      <c r="E18" s="52"/>
      <c r="F18" s="44"/>
      <c r="G18" s="44"/>
      <c r="H18" s="82"/>
      <c r="I18" s="82"/>
      <c r="J18" s="39"/>
    </row>
    <row r="19" spans="1:12" ht="15" customHeight="1" x14ac:dyDescent="0.25">
      <c r="A19" s="47" t="s">
        <v>64</v>
      </c>
      <c r="B19" s="39"/>
      <c r="C19" s="39"/>
      <c r="D19" s="39"/>
      <c r="E19" s="43"/>
      <c r="F19" s="44"/>
      <c r="G19" s="44"/>
      <c r="H19" s="82"/>
      <c r="I19" s="82"/>
      <c r="J19" s="39"/>
    </row>
    <row r="20" spans="1:12" ht="15" customHeight="1" x14ac:dyDescent="0.25">
      <c r="A20" s="39" t="s">
        <v>87</v>
      </c>
      <c r="B20" s="39"/>
      <c r="C20" s="39"/>
      <c r="D20" s="39"/>
      <c r="E20" s="43"/>
      <c r="F20" s="53">
        <v>-470000</v>
      </c>
      <c r="G20" s="44"/>
      <c r="H20" s="47" t="s">
        <v>123</v>
      </c>
      <c r="I20" s="82"/>
      <c r="J20" s="39"/>
    </row>
    <row r="21" spans="1:12" ht="15" customHeight="1" thickBot="1" x14ac:dyDescent="0.3">
      <c r="A21" s="47"/>
      <c r="B21" s="39"/>
      <c r="C21" s="39"/>
      <c r="D21" s="39"/>
      <c r="E21" s="52" t="s">
        <v>120</v>
      </c>
      <c r="F21" s="54">
        <f>SUM(F17:F20)</f>
        <v>254300</v>
      </c>
      <c r="G21" s="85">
        <f>+F21</f>
        <v>254300</v>
      </c>
      <c r="H21" s="58" t="s">
        <v>148</v>
      </c>
      <c r="I21" s="58"/>
      <c r="J21" s="39"/>
    </row>
    <row r="22" spans="1:12" ht="30" customHeight="1" thickTop="1" x14ac:dyDescent="0.25">
      <c r="A22" s="47"/>
      <c r="B22" s="39"/>
      <c r="C22" s="39"/>
      <c r="D22" s="39"/>
      <c r="E22" s="52"/>
      <c r="F22" s="44"/>
      <c r="G22" s="134">
        <f>F15/0.5*0.5</f>
        <v>10000</v>
      </c>
      <c r="H22" s="213" t="s">
        <v>186</v>
      </c>
      <c r="I22" s="214"/>
      <c r="J22" s="39"/>
    </row>
    <row r="23" spans="1:12" ht="30" customHeight="1" x14ac:dyDescent="0.25">
      <c r="A23" s="47"/>
      <c r="B23" s="39"/>
      <c r="C23" s="39"/>
      <c r="D23" s="39"/>
      <c r="E23" s="52"/>
      <c r="F23" s="44"/>
      <c r="G23" s="134">
        <f>F16/0.5*0.3</f>
        <v>282000</v>
      </c>
      <c r="H23" s="213" t="s">
        <v>187</v>
      </c>
      <c r="I23" s="214"/>
      <c r="J23" s="39"/>
    </row>
    <row r="24" spans="1:12" ht="30" customHeight="1" x14ac:dyDescent="0.25">
      <c r="A24" s="47"/>
      <c r="B24" s="39"/>
      <c r="C24" s="39"/>
      <c r="D24" s="39"/>
      <c r="E24" s="52"/>
      <c r="F24" s="44"/>
      <c r="G24" s="134">
        <f>-(F12+F13-35000-60000)</f>
        <v>-22300</v>
      </c>
      <c r="H24" s="193" t="s">
        <v>108</v>
      </c>
      <c r="I24" s="194"/>
      <c r="J24" s="39"/>
    </row>
    <row r="25" spans="1:12" ht="15" customHeight="1" x14ac:dyDescent="0.25">
      <c r="A25" s="47"/>
      <c r="B25" s="39"/>
      <c r="C25" s="39"/>
      <c r="D25" s="39"/>
      <c r="E25" s="52"/>
      <c r="F25" s="44"/>
      <c r="G25" s="133">
        <f>SUM(G21:G24)</f>
        <v>524000</v>
      </c>
      <c r="H25" s="93" t="s">
        <v>92</v>
      </c>
      <c r="I25" s="82"/>
      <c r="J25" s="39"/>
    </row>
    <row r="26" spans="1:12" ht="15" customHeight="1" x14ac:dyDescent="0.25">
      <c r="A26" s="47"/>
      <c r="B26" s="39"/>
      <c r="C26" s="39"/>
      <c r="D26" s="39"/>
      <c r="E26" s="52"/>
      <c r="F26" s="44"/>
      <c r="G26" s="44"/>
      <c r="H26" s="93"/>
      <c r="I26" s="82"/>
      <c r="J26" s="39"/>
    </row>
    <row r="27" spans="1:12" ht="15" customHeight="1" x14ac:dyDescent="0.25">
      <c r="A27" s="47" t="s">
        <v>65</v>
      </c>
      <c r="B27" s="39"/>
      <c r="C27" s="39"/>
      <c r="D27" s="39"/>
      <c r="E27" s="43"/>
      <c r="F27" s="80"/>
      <c r="G27" s="80"/>
      <c r="H27" s="47" t="s">
        <v>86</v>
      </c>
      <c r="I27" s="82"/>
      <c r="J27" s="39"/>
      <c r="K27" s="48" t="s">
        <v>84</v>
      </c>
      <c r="L27" s="49"/>
    </row>
    <row r="28" spans="1:12" ht="15" customHeight="1" x14ac:dyDescent="0.25">
      <c r="A28" s="47"/>
      <c r="B28" s="39"/>
      <c r="C28" s="39"/>
      <c r="D28" s="39"/>
      <c r="E28" s="43"/>
      <c r="F28" s="80"/>
      <c r="I28" s="82"/>
      <c r="J28" s="39"/>
      <c r="K28" s="50" t="s">
        <v>47</v>
      </c>
      <c r="L28" s="51">
        <v>57375</v>
      </c>
    </row>
    <row r="29" spans="1:12" ht="15" customHeight="1" x14ac:dyDescent="0.25">
      <c r="A29" s="55" t="s">
        <v>121</v>
      </c>
      <c r="B29" s="39"/>
      <c r="C29" s="39"/>
      <c r="D29" s="39"/>
      <c r="E29" s="43"/>
      <c r="F29" s="80"/>
      <c r="G29" s="80">
        <f>+G25</f>
        <v>524000</v>
      </c>
      <c r="H29" s="38" t="s">
        <v>92</v>
      </c>
      <c r="I29" s="82"/>
      <c r="J29" s="39"/>
      <c r="K29" s="50" t="s">
        <v>48</v>
      </c>
      <c r="L29" s="51">
        <v>114750</v>
      </c>
    </row>
    <row r="30" spans="1:12" ht="15" customHeight="1" x14ac:dyDescent="0.25">
      <c r="A30" s="38" t="s">
        <v>175</v>
      </c>
      <c r="D30" s="56">
        <v>0.15</v>
      </c>
      <c r="E30" s="45">
        <f>+MIN(F21,$L$28)*D30</f>
        <v>8606.25</v>
      </c>
      <c r="F30" s="128"/>
      <c r="G30" s="80">
        <f>-L30</f>
        <v>-177882</v>
      </c>
      <c r="H30" s="38" t="s">
        <v>188</v>
      </c>
      <c r="I30" s="82"/>
      <c r="J30" s="39"/>
      <c r="K30" s="50" t="s">
        <v>49</v>
      </c>
      <c r="L30" s="51">
        <v>177882</v>
      </c>
    </row>
    <row r="31" spans="1:12" ht="15" customHeight="1" x14ac:dyDescent="0.25">
      <c r="A31" s="38" t="s">
        <v>176</v>
      </c>
      <c r="D31" s="57">
        <v>0.20499999999999999</v>
      </c>
      <c r="E31" s="58">
        <f>MIN(($F$21-$L$28),($L$29-$L$28))*D31</f>
        <v>11761.875</v>
      </c>
      <c r="F31" s="80"/>
      <c r="G31" s="133">
        <f>+G29+G30</f>
        <v>346118</v>
      </c>
      <c r="H31" s="82"/>
      <c r="I31" s="82"/>
      <c r="J31" s="39"/>
      <c r="K31" s="50" t="s">
        <v>50</v>
      </c>
      <c r="L31" s="51">
        <v>253414</v>
      </c>
    </row>
    <row r="32" spans="1:12" ht="15" customHeight="1" x14ac:dyDescent="0.25">
      <c r="A32" s="38" t="s">
        <v>177</v>
      </c>
      <c r="D32" s="56">
        <v>0.26</v>
      </c>
      <c r="E32" s="58">
        <f>MIN(($F$21-$L$29),($L$30-$L$29))*D32</f>
        <v>16414.32</v>
      </c>
      <c r="F32" s="80"/>
      <c r="G32" s="80"/>
      <c r="I32" s="82"/>
      <c r="J32" s="39"/>
      <c r="K32" s="50" t="s">
        <v>51</v>
      </c>
      <c r="L32" s="51">
        <v>16129</v>
      </c>
    </row>
    <row r="33" spans="1:12" ht="15" customHeight="1" x14ac:dyDescent="0.25">
      <c r="A33" s="38" t="s">
        <v>178</v>
      </c>
      <c r="D33" s="56">
        <v>0.28999999999999998</v>
      </c>
      <c r="E33" s="58">
        <f>MIN(($F$21-$L$30),($L$31-$L$30))*D33</f>
        <v>21904.28</v>
      </c>
      <c r="F33" s="80"/>
      <c r="G33" s="80"/>
      <c r="H33" s="82"/>
      <c r="I33" s="82"/>
      <c r="J33" s="39"/>
      <c r="K33" s="50" t="s">
        <v>52</v>
      </c>
      <c r="L33" s="51">
        <v>4735</v>
      </c>
    </row>
    <row r="34" spans="1:12" ht="15" customHeight="1" x14ac:dyDescent="0.25">
      <c r="A34" s="38" t="s">
        <v>179</v>
      </c>
      <c r="D34" s="56">
        <v>0.33</v>
      </c>
      <c r="E34" s="59">
        <f>MAX(($F$21-L31),0)*D34</f>
        <v>292.38</v>
      </c>
      <c r="F34" s="80"/>
      <c r="G34" s="80"/>
      <c r="H34" s="82"/>
      <c r="I34" s="82"/>
      <c r="J34" s="39"/>
      <c r="K34" s="50" t="s">
        <v>53</v>
      </c>
      <c r="L34" s="51">
        <v>484</v>
      </c>
    </row>
    <row r="35" spans="1:12" ht="15" customHeight="1" x14ac:dyDescent="0.25">
      <c r="A35" s="47"/>
      <c r="B35" s="39"/>
      <c r="C35" s="39"/>
      <c r="D35" s="39"/>
      <c r="E35" s="43">
        <f>SUM(E30:E34)</f>
        <v>58979.104999999996</v>
      </c>
      <c r="F35" s="61">
        <f>+E35</f>
        <v>58979.104999999996</v>
      </c>
      <c r="G35" s="61">
        <f>+G31*0.205</f>
        <v>70954.19</v>
      </c>
      <c r="H35" s="82" t="s">
        <v>189</v>
      </c>
      <c r="I35" s="82"/>
      <c r="J35" s="39"/>
      <c r="K35" s="50" t="s">
        <v>54</v>
      </c>
      <c r="L35" s="51">
        <v>861</v>
      </c>
    </row>
    <row r="36" spans="1:12" ht="15" customHeight="1" x14ac:dyDescent="0.25">
      <c r="A36" s="47"/>
      <c r="B36" s="39"/>
      <c r="C36" s="39"/>
      <c r="D36" s="39"/>
      <c r="E36" s="43"/>
      <c r="F36" s="60"/>
      <c r="G36" s="60"/>
      <c r="H36" s="162"/>
      <c r="I36" s="82"/>
      <c r="J36" s="39"/>
      <c r="K36" s="50" t="s">
        <v>55</v>
      </c>
      <c r="L36" s="51">
        <v>1471</v>
      </c>
    </row>
    <row r="37" spans="1:12" ht="15" customHeight="1" thickBot="1" x14ac:dyDescent="0.3">
      <c r="A37" s="55" t="s">
        <v>67</v>
      </c>
      <c r="B37" s="63"/>
      <c r="C37" s="39"/>
      <c r="D37" s="39"/>
      <c r="E37" s="43"/>
      <c r="F37" s="60"/>
      <c r="G37" s="60"/>
      <c r="H37" s="128"/>
      <c r="I37" s="82"/>
      <c r="J37" s="39"/>
      <c r="K37" s="50" t="s">
        <v>56</v>
      </c>
      <c r="L37" s="51">
        <v>2834</v>
      </c>
    </row>
    <row r="38" spans="1:12" ht="15" customHeight="1" x14ac:dyDescent="0.25">
      <c r="A38" s="75" t="s">
        <v>68</v>
      </c>
      <c r="B38" s="63"/>
      <c r="C38" s="39"/>
      <c r="D38" s="39"/>
      <c r="E38" s="43"/>
      <c r="F38" s="125">
        <f>-$L$32*0.15</f>
        <v>-2419.35</v>
      </c>
      <c r="G38" s="125">
        <f>+F38/2</f>
        <v>-1209.675</v>
      </c>
      <c r="H38" s="195" t="s">
        <v>170</v>
      </c>
      <c r="I38" s="196"/>
      <c r="J38" s="39"/>
      <c r="K38" s="50" t="s">
        <v>57</v>
      </c>
      <c r="L38" s="51">
        <v>9028</v>
      </c>
    </row>
    <row r="39" spans="1:12" ht="15" customHeight="1" x14ac:dyDescent="0.25">
      <c r="A39" s="67" t="s">
        <v>118</v>
      </c>
      <c r="B39" s="63"/>
      <c r="C39" s="39"/>
      <c r="D39" s="39"/>
      <c r="E39" s="43"/>
      <c r="F39" s="126"/>
      <c r="G39" s="126"/>
      <c r="H39" s="197"/>
      <c r="I39" s="198"/>
      <c r="J39" s="39"/>
      <c r="K39" s="50" t="s">
        <v>58</v>
      </c>
      <c r="L39" s="51">
        <v>45522</v>
      </c>
    </row>
    <row r="40" spans="1:12" ht="15" customHeight="1" x14ac:dyDescent="0.25">
      <c r="A40" s="76" t="s">
        <v>93</v>
      </c>
      <c r="B40" s="71"/>
      <c r="C40" s="71"/>
      <c r="D40" s="71"/>
      <c r="E40" s="71"/>
      <c r="F40" s="126"/>
      <c r="G40" s="126"/>
      <c r="H40" s="197"/>
      <c r="I40" s="198"/>
      <c r="J40" s="39"/>
      <c r="K40" s="50" t="s">
        <v>59</v>
      </c>
      <c r="L40" s="51">
        <v>8601</v>
      </c>
    </row>
    <row r="41" spans="1:12" ht="15" customHeight="1" x14ac:dyDescent="0.25">
      <c r="A41" s="72" t="s">
        <v>180</v>
      </c>
      <c r="B41" s="71"/>
      <c r="C41" s="71"/>
      <c r="D41" s="71"/>
      <c r="E41" s="71"/>
      <c r="F41" s="126">
        <f>+F38</f>
        <v>-2419.35</v>
      </c>
      <c r="G41" s="126">
        <f>+F41/2</f>
        <v>-1209.675</v>
      </c>
      <c r="H41" s="197"/>
      <c r="I41" s="198"/>
      <c r="J41" s="39"/>
      <c r="K41" s="50" t="s">
        <v>62</v>
      </c>
      <c r="L41" s="51">
        <v>10138</v>
      </c>
    </row>
    <row r="42" spans="1:12" ht="15" customHeight="1" x14ac:dyDescent="0.25">
      <c r="A42" s="72" t="s">
        <v>94</v>
      </c>
      <c r="B42" s="71"/>
      <c r="C42" s="71"/>
      <c r="D42" s="71"/>
      <c r="E42" s="71"/>
      <c r="F42" s="126"/>
      <c r="G42" s="126"/>
      <c r="H42" s="197"/>
      <c r="I42" s="198"/>
      <c r="J42" s="39"/>
    </row>
    <row r="43" spans="1:12" ht="15" customHeight="1" x14ac:dyDescent="0.25">
      <c r="A43" s="77" t="s">
        <v>69</v>
      </c>
      <c r="B43" s="63"/>
      <c r="C43" s="39"/>
      <c r="D43" s="39"/>
      <c r="E43" s="43"/>
      <c r="F43" s="126">
        <f>-600*0.15</f>
        <v>-90</v>
      </c>
      <c r="G43" s="126">
        <f>+F43/2</f>
        <v>-45</v>
      </c>
      <c r="H43" s="197"/>
      <c r="I43" s="198"/>
      <c r="J43" s="39"/>
    </row>
    <row r="44" spans="1:12" ht="15" customHeight="1" x14ac:dyDescent="0.25">
      <c r="A44" s="65" t="s">
        <v>112</v>
      </c>
      <c r="B44" s="124"/>
      <c r="C44" s="39"/>
      <c r="D44" s="39"/>
      <c r="E44" s="43"/>
      <c r="F44" s="126"/>
      <c r="G44" s="126"/>
      <c r="H44" s="197"/>
      <c r="I44" s="198"/>
      <c r="J44" s="39"/>
    </row>
    <row r="45" spans="1:12" ht="15" customHeight="1" x14ac:dyDescent="0.25">
      <c r="A45" s="73" t="s">
        <v>113</v>
      </c>
      <c r="B45" s="63"/>
      <c r="C45" s="39"/>
      <c r="D45" s="39"/>
      <c r="E45" s="43"/>
      <c r="F45" s="126"/>
      <c r="G45" s="126"/>
      <c r="H45" s="197"/>
      <c r="I45" s="198"/>
      <c r="J45" s="39"/>
    </row>
    <row r="46" spans="1:12" ht="15" customHeight="1" x14ac:dyDescent="0.25">
      <c r="A46" s="73" t="s">
        <v>114</v>
      </c>
      <c r="B46" s="63"/>
      <c r="C46" s="39"/>
      <c r="D46" s="39"/>
      <c r="E46" s="43"/>
      <c r="F46" s="126"/>
      <c r="G46" s="126"/>
      <c r="H46" s="197"/>
      <c r="I46" s="198"/>
      <c r="J46" s="39"/>
    </row>
    <row r="47" spans="1:12" ht="15" customHeight="1" x14ac:dyDescent="0.25">
      <c r="A47" s="77" t="s">
        <v>95</v>
      </c>
      <c r="B47" s="63"/>
      <c r="C47" s="39"/>
      <c r="D47" s="39"/>
      <c r="E47" s="43"/>
      <c r="F47" s="126">
        <f>-165*0.15</f>
        <v>-24.75</v>
      </c>
      <c r="G47" s="126">
        <f>+F47/2</f>
        <v>-12.375</v>
      </c>
      <c r="H47" s="197"/>
      <c r="I47" s="198"/>
      <c r="J47" s="39"/>
    </row>
    <row r="48" spans="1:12" ht="15" customHeight="1" x14ac:dyDescent="0.25">
      <c r="A48" s="65" t="s">
        <v>99</v>
      </c>
      <c r="B48" s="63"/>
      <c r="C48" s="39"/>
      <c r="D48" s="39"/>
      <c r="E48" s="43"/>
      <c r="F48" s="126"/>
      <c r="G48" s="126"/>
      <c r="H48" s="197"/>
      <c r="I48" s="198"/>
      <c r="J48" s="39"/>
    </row>
    <row r="49" spans="1:13" ht="15" customHeight="1" x14ac:dyDescent="0.25">
      <c r="A49" s="77" t="s">
        <v>70</v>
      </c>
      <c r="B49" s="39"/>
      <c r="C49" s="39"/>
      <c r="D49" s="39"/>
      <c r="E49" s="43"/>
      <c r="F49" s="126">
        <f>-(L54-MIN($F$17*0.03,$L$37))*0.15</f>
        <v>-15.899999999999999</v>
      </c>
      <c r="G49" s="126">
        <f>+F49/2</f>
        <v>-7.9499999999999993</v>
      </c>
      <c r="H49" s="197"/>
      <c r="I49" s="198"/>
      <c r="J49" s="39"/>
    </row>
    <row r="50" spans="1:13" ht="15" customHeight="1" x14ac:dyDescent="0.25">
      <c r="A50" s="65" t="s">
        <v>183</v>
      </c>
      <c r="B50" s="39"/>
      <c r="C50" s="39"/>
      <c r="D50" s="39"/>
      <c r="E50" s="43"/>
      <c r="F50" s="126"/>
      <c r="G50" s="126"/>
      <c r="H50" s="197"/>
      <c r="I50" s="198"/>
      <c r="J50" s="39"/>
      <c r="K50" s="1" t="s">
        <v>70</v>
      </c>
      <c r="L50" s="51">
        <v>900</v>
      </c>
    </row>
    <row r="51" spans="1:13" ht="15" customHeight="1" x14ac:dyDescent="0.25">
      <c r="A51" s="67" t="s">
        <v>181</v>
      </c>
      <c r="B51" s="68"/>
      <c r="C51" s="68"/>
      <c r="D51" s="68"/>
      <c r="E51" s="69"/>
      <c r="F51" s="126"/>
      <c r="G51" s="126"/>
      <c r="H51" s="197"/>
      <c r="I51" s="198"/>
      <c r="J51" s="39"/>
      <c r="L51" s="51">
        <v>950</v>
      </c>
      <c r="M51" s="38">
        <f>+L50+L51</f>
        <v>1850</v>
      </c>
    </row>
    <row r="52" spans="1:13" ht="15" customHeight="1" x14ac:dyDescent="0.25">
      <c r="A52" s="67" t="s">
        <v>142</v>
      </c>
      <c r="B52" s="68"/>
      <c r="C52" s="68"/>
      <c r="D52" s="68"/>
      <c r="E52" s="69"/>
      <c r="F52" s="126"/>
      <c r="G52" s="126"/>
      <c r="H52" s="197"/>
      <c r="I52" s="198"/>
      <c r="J52" s="39"/>
      <c r="L52" s="51">
        <v>1900</v>
      </c>
    </row>
    <row r="53" spans="1:13" ht="15" customHeight="1" x14ac:dyDescent="0.25">
      <c r="A53" s="67" t="s">
        <v>182</v>
      </c>
      <c r="B53" s="68"/>
      <c r="C53" s="68"/>
      <c r="D53" s="68"/>
      <c r="E53" s="69"/>
      <c r="F53" s="126"/>
      <c r="G53" s="126"/>
      <c r="H53" s="197"/>
      <c r="I53" s="198"/>
      <c r="J53" s="39"/>
      <c r="L53" s="51">
        <f>-L50*0.9</f>
        <v>-810</v>
      </c>
    </row>
    <row r="54" spans="1:13" ht="15" customHeight="1" x14ac:dyDescent="0.25">
      <c r="A54" s="78" t="s">
        <v>96</v>
      </c>
      <c r="B54" s="68"/>
      <c r="C54" s="68"/>
      <c r="D54" s="68"/>
      <c r="E54" s="69"/>
      <c r="F54" s="126">
        <f>+G107</f>
        <v>-1747.44</v>
      </c>
      <c r="G54" s="126">
        <f>+F54*0.8</f>
        <v>-1397.9520000000002</v>
      </c>
      <c r="H54" s="197"/>
      <c r="I54" s="198"/>
      <c r="J54" s="39"/>
      <c r="L54" s="38">
        <f>SUM(L50:L53)</f>
        <v>2940</v>
      </c>
    </row>
    <row r="55" spans="1:13" ht="15" customHeight="1" x14ac:dyDescent="0.25">
      <c r="A55" s="67" t="s">
        <v>119</v>
      </c>
      <c r="B55" s="68"/>
      <c r="C55" s="68"/>
      <c r="D55" s="68"/>
      <c r="E55" s="69"/>
      <c r="F55" s="126"/>
      <c r="G55" s="126"/>
      <c r="H55" s="197"/>
      <c r="I55" s="198"/>
      <c r="J55" s="39"/>
    </row>
    <row r="56" spans="1:13" ht="15" customHeight="1" x14ac:dyDescent="0.25">
      <c r="A56" s="78" t="s">
        <v>71</v>
      </c>
      <c r="B56" s="68"/>
      <c r="C56" s="68"/>
      <c r="D56" s="68"/>
      <c r="E56" s="69"/>
      <c r="F56" s="126"/>
      <c r="G56" s="126"/>
      <c r="H56" s="197"/>
      <c r="I56" s="198"/>
      <c r="J56" s="39"/>
    </row>
    <row r="57" spans="1:13" ht="15" customHeight="1" x14ac:dyDescent="0.25">
      <c r="A57" s="70" t="s">
        <v>100</v>
      </c>
      <c r="B57" s="67"/>
      <c r="C57" s="67"/>
      <c r="D57" s="67"/>
      <c r="E57" s="69"/>
      <c r="F57" s="135">
        <f>-F12*0.09</f>
        <v>-6210</v>
      </c>
      <c r="G57" s="163" t="s">
        <v>153</v>
      </c>
      <c r="H57" s="197"/>
      <c r="I57" s="198"/>
      <c r="J57" s="39"/>
    </row>
    <row r="58" spans="1:13" ht="15" customHeight="1" x14ac:dyDescent="0.25">
      <c r="A58" s="67" t="s">
        <v>109</v>
      </c>
      <c r="B58" s="67"/>
      <c r="C58" s="67"/>
      <c r="D58" s="67"/>
      <c r="E58" s="69"/>
      <c r="F58" s="135">
        <f>-F13*0.15</f>
        <v>-7244.9999999999991</v>
      </c>
      <c r="G58" s="163" t="s">
        <v>153</v>
      </c>
      <c r="H58" s="197"/>
      <c r="I58" s="198"/>
      <c r="J58" s="39"/>
    </row>
    <row r="59" spans="1:13" ht="15" customHeight="1" x14ac:dyDescent="0.25">
      <c r="A59" s="79" t="s">
        <v>72</v>
      </c>
      <c r="B59" s="64"/>
      <c r="C59" s="39"/>
      <c r="D59" s="39"/>
      <c r="E59" s="43"/>
      <c r="F59" s="126"/>
      <c r="G59" s="126"/>
      <c r="H59" s="197"/>
      <c r="I59" s="198"/>
      <c r="J59" s="39"/>
    </row>
    <row r="60" spans="1:13" ht="15" customHeight="1" x14ac:dyDescent="0.25">
      <c r="A60" s="64"/>
      <c r="B60" s="64"/>
      <c r="C60" s="39"/>
      <c r="D60" s="39"/>
      <c r="E60" s="43" t="s">
        <v>75</v>
      </c>
      <c r="F60" s="126">
        <f>-L33*0.15</f>
        <v>-710.25</v>
      </c>
      <c r="G60" s="126">
        <f>+F60/2</f>
        <v>-355.125</v>
      </c>
      <c r="H60" s="197"/>
      <c r="I60" s="198"/>
      <c r="J60" s="39"/>
    </row>
    <row r="61" spans="1:13" ht="15" customHeight="1" x14ac:dyDescent="0.25">
      <c r="A61" s="64"/>
      <c r="B61" s="64"/>
      <c r="C61" s="39"/>
      <c r="D61" s="39"/>
      <c r="E61" s="43" t="s">
        <v>76</v>
      </c>
      <c r="F61" s="126">
        <f>-L34*0.15</f>
        <v>-72.599999999999994</v>
      </c>
      <c r="G61" s="126">
        <f>+F61/2</f>
        <v>-36.299999999999997</v>
      </c>
      <c r="H61" s="197"/>
      <c r="I61" s="198"/>
      <c r="J61" s="39"/>
    </row>
    <row r="62" spans="1:13" ht="15" customHeight="1" x14ac:dyDescent="0.25">
      <c r="A62" s="64"/>
      <c r="B62" s="64"/>
      <c r="C62" s="39"/>
      <c r="D62" s="39"/>
      <c r="E62" s="43" t="s">
        <v>77</v>
      </c>
      <c r="F62" s="126">
        <f>-L35*0.15</f>
        <v>-129.15</v>
      </c>
      <c r="G62" s="126">
        <f>+F62/2</f>
        <v>-64.575000000000003</v>
      </c>
      <c r="H62" s="197"/>
      <c r="I62" s="198"/>
      <c r="J62" s="39"/>
    </row>
    <row r="63" spans="1:13" ht="15" customHeight="1" thickBot="1" x14ac:dyDescent="0.3">
      <c r="A63" s="42" t="s">
        <v>73</v>
      </c>
      <c r="B63" s="39"/>
      <c r="C63" s="39"/>
      <c r="D63" s="39"/>
      <c r="E63" s="43"/>
      <c r="F63" s="127">
        <f>-L36*0.15</f>
        <v>-220.65</v>
      </c>
      <c r="G63" s="127">
        <f>+F63/2</f>
        <v>-110.325</v>
      </c>
      <c r="H63" s="199"/>
      <c r="I63" s="200"/>
      <c r="J63" s="39"/>
    </row>
    <row r="64" spans="1:13" ht="15" customHeight="1" thickBot="1" x14ac:dyDescent="0.3">
      <c r="A64" s="39"/>
      <c r="B64" s="39"/>
      <c r="C64" s="39"/>
      <c r="D64" s="39"/>
      <c r="E64" s="52" t="s">
        <v>83</v>
      </c>
      <c r="F64" s="130">
        <f>+SUM(F35:F63)</f>
        <v>37674.664999999994</v>
      </c>
      <c r="G64" s="130">
        <f>+SUM(G35:G63)</f>
        <v>66505.237999999998</v>
      </c>
      <c r="H64" s="129" t="s">
        <v>124</v>
      </c>
      <c r="I64" s="82"/>
      <c r="J64" s="39"/>
    </row>
    <row r="65" spans="1:10" ht="15" customHeight="1" thickBot="1" x14ac:dyDescent="0.3">
      <c r="A65" s="74"/>
      <c r="B65" s="74"/>
      <c r="C65" s="74"/>
      <c r="D65" s="74"/>
      <c r="E65" s="131" t="s">
        <v>122</v>
      </c>
      <c r="F65" s="60"/>
      <c r="G65" s="130">
        <f>+G64</f>
        <v>66505.237999999998</v>
      </c>
      <c r="H65" s="82"/>
      <c r="I65" s="82"/>
      <c r="J65" s="39"/>
    </row>
    <row r="66" spans="1:10" ht="15" customHeight="1" x14ac:dyDescent="0.25">
      <c r="A66" s="39"/>
      <c r="B66" s="39"/>
      <c r="C66" s="39"/>
      <c r="D66" s="39"/>
      <c r="E66" s="43"/>
      <c r="F66" s="60"/>
      <c r="G66" s="60"/>
      <c r="H66" s="82"/>
      <c r="I66" s="82"/>
      <c r="J66" s="39"/>
    </row>
    <row r="67" spans="1:10" ht="15" customHeight="1" x14ac:dyDescent="0.25">
      <c r="A67" s="41" t="s">
        <v>78</v>
      </c>
      <c r="B67" s="39"/>
      <c r="C67" s="39"/>
      <c r="D67" s="39"/>
      <c r="E67" s="43"/>
      <c r="F67" s="60"/>
      <c r="G67" s="60"/>
      <c r="H67" s="82"/>
      <c r="I67" s="82"/>
      <c r="J67" s="39"/>
    </row>
    <row r="68" spans="1:10" ht="15" customHeight="1" x14ac:dyDescent="0.25">
      <c r="A68" s="40" t="s">
        <v>136</v>
      </c>
      <c r="B68" s="39"/>
      <c r="C68" s="39"/>
      <c r="D68" s="39"/>
      <c r="E68" s="43"/>
      <c r="F68" s="60"/>
      <c r="G68" s="60">
        <f>-G65*0.165</f>
        <v>-10973.36427</v>
      </c>
      <c r="H68" s="82"/>
      <c r="I68" s="82"/>
      <c r="J68" s="39"/>
    </row>
    <row r="69" spans="1:10" ht="15" customHeight="1" x14ac:dyDescent="0.25">
      <c r="A69" s="47"/>
      <c r="B69" s="39"/>
      <c r="C69" s="39"/>
      <c r="D69" s="39"/>
      <c r="E69" s="52"/>
      <c r="F69" s="60"/>
      <c r="G69" s="60"/>
      <c r="H69" s="82"/>
      <c r="I69" s="82"/>
      <c r="J69" s="39"/>
    </row>
    <row r="70" spans="1:10" ht="15" customHeight="1" thickBot="1" x14ac:dyDescent="0.3">
      <c r="A70" s="41" t="s">
        <v>79</v>
      </c>
      <c r="B70" s="39"/>
      <c r="C70" s="39"/>
      <c r="D70" s="39"/>
      <c r="E70" s="43"/>
      <c r="F70" s="60"/>
      <c r="G70" s="60"/>
      <c r="H70" s="82"/>
      <c r="I70" s="82"/>
      <c r="J70" s="39"/>
    </row>
    <row r="71" spans="1:10" ht="15" customHeight="1" x14ac:dyDescent="0.25">
      <c r="A71" s="42" t="s">
        <v>98</v>
      </c>
      <c r="B71" s="39"/>
      <c r="C71" s="39"/>
      <c r="D71" s="39"/>
      <c r="E71" s="43"/>
      <c r="F71" s="60"/>
      <c r="G71" s="132">
        <f>-1200*0.5</f>
        <v>-600</v>
      </c>
      <c r="H71" s="82"/>
      <c r="I71" s="82"/>
      <c r="J71" s="39"/>
    </row>
    <row r="72" spans="1:10" ht="15" customHeight="1" x14ac:dyDescent="0.25">
      <c r="A72" s="40" t="s">
        <v>110</v>
      </c>
      <c r="B72" s="39"/>
      <c r="C72" s="39"/>
      <c r="D72" s="39"/>
      <c r="E72" s="43"/>
      <c r="F72" s="60"/>
      <c r="G72" s="126"/>
      <c r="H72" s="82"/>
      <c r="I72" s="82"/>
      <c r="J72" s="39"/>
    </row>
    <row r="73" spans="1:10" ht="15" customHeight="1" x14ac:dyDescent="0.25">
      <c r="A73" s="28" t="s">
        <v>111</v>
      </c>
      <c r="B73" s="39"/>
      <c r="C73" s="39"/>
      <c r="D73" s="39"/>
      <c r="E73" s="43"/>
      <c r="F73" s="60"/>
      <c r="G73" s="126"/>
      <c r="H73" s="82"/>
      <c r="I73" s="82"/>
      <c r="J73" s="39"/>
    </row>
    <row r="74" spans="1:10" ht="15" customHeight="1" x14ac:dyDescent="0.25">
      <c r="A74" s="42" t="s">
        <v>97</v>
      </c>
      <c r="B74" s="39"/>
      <c r="C74" s="39"/>
      <c r="D74" s="39"/>
      <c r="E74" s="43"/>
      <c r="F74" s="60"/>
      <c r="G74" s="163" t="s">
        <v>153</v>
      </c>
      <c r="H74" s="82"/>
      <c r="I74" s="82"/>
      <c r="J74" s="39"/>
    </row>
    <row r="75" spans="1:10" ht="15" customHeight="1" x14ac:dyDescent="0.25">
      <c r="A75" s="67" t="s">
        <v>130</v>
      </c>
      <c r="B75" s="39"/>
      <c r="C75" s="39"/>
      <c r="D75" s="39"/>
      <c r="E75" s="43"/>
      <c r="F75" s="60"/>
      <c r="G75" s="60"/>
      <c r="H75" s="82"/>
      <c r="I75" s="82"/>
      <c r="J75" s="39"/>
    </row>
    <row r="76" spans="1:10" ht="15" customHeight="1" x14ac:dyDescent="0.25">
      <c r="A76" s="41"/>
      <c r="B76" s="39"/>
      <c r="C76" s="39"/>
      <c r="D76" s="39"/>
      <c r="E76" s="52" t="s">
        <v>82</v>
      </c>
      <c r="F76" s="61"/>
      <c r="G76" s="61">
        <f>SUM(G65:G75)</f>
        <v>54931.873729999999</v>
      </c>
      <c r="H76" s="129" t="str">
        <f>+E76</f>
        <v>Impôt payable</v>
      </c>
      <c r="I76" s="82"/>
      <c r="J76" s="39"/>
    </row>
    <row r="77" spans="1:10" ht="15" customHeight="1" x14ac:dyDescent="0.25">
      <c r="A77" s="41"/>
      <c r="B77" s="39"/>
      <c r="C77" s="39"/>
      <c r="D77" s="39"/>
      <c r="E77" s="52"/>
      <c r="F77" s="60"/>
      <c r="G77" s="60"/>
      <c r="H77" s="82"/>
      <c r="I77" s="82"/>
      <c r="J77" s="39"/>
    </row>
    <row r="78" spans="1:10" ht="15" customHeight="1" x14ac:dyDescent="0.25">
      <c r="A78" s="41" t="s">
        <v>80</v>
      </c>
      <c r="B78" s="39"/>
      <c r="C78" s="39"/>
      <c r="D78" s="39"/>
      <c r="E78" s="43"/>
      <c r="F78" s="60"/>
      <c r="G78" s="60"/>
      <c r="H78" s="82"/>
      <c r="I78" s="82"/>
      <c r="J78" s="39"/>
    </row>
    <row r="79" spans="1:10" ht="15" customHeight="1" x14ac:dyDescent="0.25">
      <c r="A79" s="1" t="s">
        <v>81</v>
      </c>
      <c r="B79" s="39"/>
      <c r="C79" s="39"/>
      <c r="D79" s="39"/>
      <c r="E79" s="43"/>
      <c r="F79" s="60"/>
      <c r="G79" s="60">
        <v>-26000</v>
      </c>
      <c r="H79" s="82"/>
      <c r="I79" s="82"/>
      <c r="J79" s="39"/>
    </row>
    <row r="80" spans="1:10" ht="15" customHeight="1" x14ac:dyDescent="0.25">
      <c r="A80" s="41"/>
      <c r="B80" s="39"/>
      <c r="C80" s="39"/>
      <c r="D80" s="39"/>
      <c r="E80" s="43"/>
      <c r="F80" s="66"/>
      <c r="G80" s="66"/>
      <c r="H80" s="82"/>
      <c r="I80" s="82"/>
      <c r="J80" s="39"/>
    </row>
    <row r="81" spans="1:10" ht="15" customHeight="1" thickBot="1" x14ac:dyDescent="0.3">
      <c r="A81" s="39"/>
      <c r="B81" s="40"/>
      <c r="C81" s="40"/>
      <c r="D81" s="39"/>
      <c r="E81" s="81" t="s">
        <v>66</v>
      </c>
      <c r="F81" s="62"/>
      <c r="G81" s="62">
        <f>SUM(G76:G80)</f>
        <v>28931.873729999999</v>
      </c>
      <c r="H81" s="129" t="str">
        <f>+E81</f>
        <v>SOLDE DÛ (ou remboursement)</v>
      </c>
      <c r="I81" s="83"/>
      <c r="J81" s="39"/>
    </row>
    <row r="82" spans="1:10" ht="15" customHeight="1" thickTop="1" x14ac:dyDescent="0.25">
      <c r="H82" s="58"/>
      <c r="I82" s="84"/>
    </row>
    <row r="83" spans="1:10" ht="15" customHeight="1" x14ac:dyDescent="0.25">
      <c r="A83" s="137"/>
      <c r="B83" s="138"/>
      <c r="C83" s="139"/>
      <c r="D83" s="139"/>
      <c r="E83" s="140" t="s">
        <v>137</v>
      </c>
      <c r="F83" s="138"/>
      <c r="G83" s="141"/>
      <c r="H83" s="58"/>
      <c r="I83" s="84"/>
    </row>
    <row r="84" spans="1:10" ht="15" customHeight="1" x14ac:dyDescent="0.25">
      <c r="A84" s="142"/>
      <c r="B84" s="143"/>
      <c r="C84" s="143"/>
      <c r="D84" s="143"/>
      <c r="E84" s="144" t="s">
        <v>190</v>
      </c>
      <c r="F84" s="145"/>
      <c r="G84" s="160">
        <f>+G64-F64</f>
        <v>28830.573000000004</v>
      </c>
      <c r="H84" s="58"/>
      <c r="I84" s="84"/>
    </row>
    <row r="85" spans="1:10" ht="15" customHeight="1" x14ac:dyDescent="0.25">
      <c r="H85" s="58"/>
      <c r="I85" s="84"/>
    </row>
    <row r="86" spans="1:10" ht="15" customHeight="1" x14ac:dyDescent="0.25">
      <c r="A86" s="1" t="s">
        <v>164</v>
      </c>
      <c r="H86" s="58"/>
      <c r="I86" s="84"/>
    </row>
    <row r="87" spans="1:10" ht="15" customHeight="1" x14ac:dyDescent="0.25">
      <c r="A87" s="216" t="s">
        <v>168</v>
      </c>
      <c r="B87" s="216"/>
      <c r="C87" s="216"/>
      <c r="D87" s="216"/>
      <c r="E87" s="216"/>
      <c r="F87" s="216"/>
      <c r="G87" s="216"/>
      <c r="H87" s="216"/>
      <c r="I87" s="216"/>
    </row>
    <row r="88" spans="1:10" ht="15" customHeight="1" x14ac:dyDescent="0.25">
      <c r="A88" s="216"/>
      <c r="B88" s="216"/>
      <c r="C88" s="216"/>
      <c r="D88" s="216"/>
      <c r="E88" s="216"/>
      <c r="F88" s="216"/>
      <c r="G88" s="216"/>
      <c r="H88" s="216"/>
      <c r="I88" s="216"/>
    </row>
    <row r="89" spans="1:10" ht="15" customHeight="1" x14ac:dyDescent="0.25">
      <c r="A89" s="216"/>
      <c r="B89" s="216"/>
      <c r="C89" s="216"/>
      <c r="D89" s="216"/>
      <c r="E89" s="216"/>
      <c r="F89" s="216"/>
      <c r="G89" s="216"/>
      <c r="H89" s="216"/>
      <c r="I89" s="216"/>
    </row>
    <row r="90" spans="1:10" ht="15" customHeight="1" x14ac:dyDescent="0.25">
      <c r="A90" s="216"/>
      <c r="B90" s="216"/>
      <c r="C90" s="216"/>
      <c r="D90" s="216"/>
      <c r="E90" s="216"/>
      <c r="F90" s="216"/>
      <c r="G90" s="216"/>
      <c r="H90" s="216"/>
      <c r="I90" s="216"/>
    </row>
    <row r="91" spans="1:10" ht="15" customHeight="1" x14ac:dyDescent="0.25">
      <c r="A91" s="216"/>
      <c r="B91" s="216"/>
      <c r="C91" s="216"/>
      <c r="D91" s="216"/>
      <c r="E91" s="216"/>
      <c r="F91" s="216"/>
      <c r="G91" s="216"/>
      <c r="H91" s="216"/>
      <c r="I91" s="216"/>
    </row>
    <row r="92" spans="1:10" ht="15" customHeight="1" x14ac:dyDescent="0.25">
      <c r="A92" s="216"/>
      <c r="B92" s="216"/>
      <c r="C92" s="216"/>
      <c r="D92" s="216"/>
      <c r="E92" s="216"/>
      <c r="F92" s="216"/>
      <c r="G92" s="216"/>
      <c r="H92" s="216"/>
      <c r="I92" s="216"/>
    </row>
    <row r="93" spans="1:10" ht="15" customHeight="1" x14ac:dyDescent="0.25">
      <c r="A93" s="216"/>
      <c r="B93" s="216"/>
      <c r="C93" s="216"/>
      <c r="D93" s="216"/>
      <c r="E93" s="216"/>
      <c r="F93" s="216"/>
      <c r="G93" s="216"/>
      <c r="H93" s="216"/>
      <c r="I93" s="216"/>
    </row>
    <row r="94" spans="1:10" ht="15" customHeight="1" x14ac:dyDescent="0.25">
      <c r="A94" s="216"/>
      <c r="B94" s="216"/>
      <c r="C94" s="216"/>
      <c r="D94" s="216"/>
      <c r="E94" s="216"/>
      <c r="F94" s="216"/>
      <c r="G94" s="216"/>
      <c r="H94" s="216"/>
      <c r="I94" s="216"/>
    </row>
    <row r="95" spans="1:10" ht="15" customHeight="1" x14ac:dyDescent="0.25">
      <c r="H95" s="58"/>
      <c r="I95" s="84"/>
    </row>
    <row r="96" spans="1:10" ht="15" customHeight="1" x14ac:dyDescent="0.25">
      <c r="A96" s="1" t="s">
        <v>167</v>
      </c>
      <c r="H96" s="58"/>
      <c r="I96" s="84"/>
    </row>
    <row r="97" spans="1:9" ht="15" customHeight="1" x14ac:dyDescent="0.25">
      <c r="A97" s="102"/>
      <c r="B97" s="120"/>
      <c r="C97" s="120"/>
      <c r="D97" s="103" t="s">
        <v>101</v>
      </c>
      <c r="E97" s="104">
        <v>6000</v>
      </c>
      <c r="F97" s="105"/>
      <c r="G97" s="106"/>
      <c r="H97" s="58"/>
      <c r="I97" s="84"/>
    </row>
    <row r="98" spans="1:9" ht="15" customHeight="1" x14ac:dyDescent="0.25">
      <c r="A98" s="107"/>
      <c r="B98" s="121"/>
      <c r="C98" s="65"/>
      <c r="D98" s="56"/>
      <c r="E98" s="108"/>
      <c r="F98" s="119" t="s">
        <v>107</v>
      </c>
      <c r="G98" s="108"/>
      <c r="H98" s="58"/>
      <c r="I98" s="84"/>
    </row>
    <row r="99" spans="1:9" ht="15" customHeight="1" x14ac:dyDescent="0.25">
      <c r="A99" s="109" t="s">
        <v>102</v>
      </c>
      <c r="B99" s="45"/>
      <c r="C99" s="21"/>
      <c r="D99" s="21"/>
      <c r="E99" s="110">
        <v>200</v>
      </c>
      <c r="F99" s="56">
        <v>0.15</v>
      </c>
      <c r="G99" s="108">
        <f>-E99*F99</f>
        <v>-30</v>
      </c>
    </row>
    <row r="100" spans="1:9" ht="15" customHeight="1" x14ac:dyDescent="0.25">
      <c r="A100" s="107"/>
      <c r="B100" s="121"/>
      <c r="C100" s="21"/>
      <c r="D100" s="21"/>
      <c r="E100" s="111"/>
      <c r="F100" s="56"/>
      <c r="G100" s="108"/>
    </row>
    <row r="101" spans="1:9" ht="15" customHeight="1" x14ac:dyDescent="0.25">
      <c r="A101" s="109" t="s">
        <v>103</v>
      </c>
      <c r="B101" s="45"/>
      <c r="C101" s="21"/>
      <c r="D101" s="21"/>
      <c r="E101" s="111"/>
      <c r="F101" s="56"/>
      <c r="G101" s="108"/>
    </row>
    <row r="102" spans="1:9" ht="15" customHeight="1" x14ac:dyDescent="0.25">
      <c r="A102" s="109" t="s">
        <v>106</v>
      </c>
      <c r="B102" s="45"/>
      <c r="C102" s="21"/>
      <c r="D102" s="21"/>
      <c r="E102" s="112"/>
      <c r="F102" s="56"/>
      <c r="G102" s="108"/>
    </row>
    <row r="103" spans="1:9" ht="15" customHeight="1" x14ac:dyDescent="0.25">
      <c r="A103" s="109" t="s">
        <v>184</v>
      </c>
      <c r="B103" s="45"/>
      <c r="C103" s="21"/>
      <c r="D103" s="21"/>
      <c r="E103" s="112">
        <f>+$F$21-$L$31</f>
        <v>886</v>
      </c>
      <c r="F103" s="56">
        <v>0.33</v>
      </c>
      <c r="G103" s="108">
        <f>-E103*F103</f>
        <v>-292.38</v>
      </c>
    </row>
    <row r="104" spans="1:9" ht="15" customHeight="1" x14ac:dyDescent="0.25">
      <c r="A104" s="107"/>
      <c r="B104" s="121"/>
      <c r="C104" s="21"/>
      <c r="D104" s="21"/>
      <c r="E104" s="111"/>
      <c r="F104" s="56"/>
      <c r="G104" s="108"/>
    </row>
    <row r="105" spans="1:9" ht="15" customHeight="1" x14ac:dyDescent="0.25">
      <c r="A105" s="109" t="s">
        <v>104</v>
      </c>
      <c r="B105" s="121"/>
      <c r="C105" s="21"/>
      <c r="D105" s="21"/>
      <c r="E105" s="111"/>
      <c r="F105" s="56"/>
      <c r="G105" s="108"/>
    </row>
    <row r="106" spans="1:9" ht="15" customHeight="1" x14ac:dyDescent="0.25">
      <c r="A106" s="113" t="s">
        <v>185</v>
      </c>
      <c r="B106" s="121"/>
      <c r="C106" s="21"/>
      <c r="D106" s="21"/>
      <c r="E106" s="114">
        <f>+E97-E99-E103</f>
        <v>4914</v>
      </c>
      <c r="F106" s="56">
        <v>0.28999999999999998</v>
      </c>
      <c r="G106" s="115">
        <f>-E106*F106</f>
        <v>-1425.06</v>
      </c>
    </row>
    <row r="107" spans="1:9" ht="15" customHeight="1" x14ac:dyDescent="0.25">
      <c r="A107" s="116"/>
      <c r="B107" s="117"/>
      <c r="C107" s="122"/>
      <c r="D107" s="122"/>
      <c r="E107" s="117"/>
      <c r="F107" s="118" t="s">
        <v>105</v>
      </c>
      <c r="G107" s="123">
        <f>SUM(G99:G106)</f>
        <v>-1747.44</v>
      </c>
    </row>
    <row r="109" spans="1:9" ht="15" customHeight="1" x14ac:dyDescent="0.25">
      <c r="A109" s="1" t="s">
        <v>129</v>
      </c>
    </row>
    <row r="110" spans="1:9" ht="15" customHeight="1" x14ac:dyDescent="0.25">
      <c r="A110" s="201" t="s">
        <v>138</v>
      </c>
      <c r="B110" s="202"/>
      <c r="C110" s="202"/>
      <c r="D110" s="202"/>
      <c r="E110" s="205">
        <v>1000</v>
      </c>
      <c r="F110" s="105"/>
      <c r="G110" s="106"/>
    </row>
    <row r="111" spans="1:9" ht="15" customHeight="1" x14ac:dyDescent="0.25">
      <c r="A111" s="203"/>
      <c r="B111" s="204"/>
      <c r="C111" s="204"/>
      <c r="D111" s="204"/>
      <c r="E111" s="206"/>
      <c r="G111" s="108"/>
    </row>
    <row r="112" spans="1:9" ht="15" customHeight="1" x14ac:dyDescent="0.25">
      <c r="A112" s="107"/>
      <c r="B112" s="121"/>
      <c r="C112" s="65"/>
      <c r="D112" s="56"/>
      <c r="E112" s="108"/>
      <c r="F112" s="119" t="s">
        <v>107</v>
      </c>
      <c r="G112" s="108"/>
    </row>
    <row r="113" spans="1:10" ht="15" customHeight="1" x14ac:dyDescent="0.25">
      <c r="A113" s="109" t="s">
        <v>115</v>
      </c>
      <c r="B113" s="45"/>
      <c r="C113" s="21"/>
      <c r="D113" s="21"/>
      <c r="E113" s="110">
        <v>400</v>
      </c>
      <c r="F113" s="56">
        <v>0.75</v>
      </c>
      <c r="G113" s="108">
        <f>-E113*F113</f>
        <v>-300</v>
      </c>
    </row>
    <row r="114" spans="1:10" ht="15" customHeight="1" x14ac:dyDescent="0.25">
      <c r="A114" s="107"/>
      <c r="B114" s="121"/>
      <c r="C114" s="21"/>
      <c r="D114" s="21"/>
      <c r="E114" s="111"/>
      <c r="F114" s="56"/>
      <c r="G114" s="108"/>
    </row>
    <row r="115" spans="1:10" ht="15" customHeight="1" x14ac:dyDescent="0.25">
      <c r="A115" s="109" t="s">
        <v>116</v>
      </c>
      <c r="B115" s="45"/>
      <c r="C115" s="21"/>
      <c r="D115" s="21"/>
      <c r="E115" s="112">
        <f>750-400</f>
        <v>350</v>
      </c>
      <c r="F115" s="56">
        <v>0.5</v>
      </c>
      <c r="G115" s="108">
        <f>-E115*F115</f>
        <v>-175</v>
      </c>
    </row>
    <row r="116" spans="1:10" ht="15" customHeight="1" x14ac:dyDescent="0.25">
      <c r="A116" s="107"/>
      <c r="B116" s="121"/>
      <c r="C116" s="21"/>
      <c r="D116" s="21"/>
      <c r="E116" s="111"/>
      <c r="F116" s="56"/>
      <c r="G116" s="108"/>
    </row>
    <row r="117" spans="1:10" ht="15" customHeight="1" x14ac:dyDescent="0.25">
      <c r="A117" s="109" t="s">
        <v>117</v>
      </c>
      <c r="B117" s="121"/>
      <c r="C117" s="21"/>
      <c r="D117" s="21"/>
      <c r="E117" s="114">
        <f>+E110-E113-E115</f>
        <v>250</v>
      </c>
      <c r="F117" s="57">
        <v>0.33300000000000002</v>
      </c>
      <c r="G117" s="115">
        <f>-E117*F117</f>
        <v>-83.25</v>
      </c>
    </row>
    <row r="118" spans="1:10" ht="15" customHeight="1" x14ac:dyDescent="0.25">
      <c r="A118" s="116"/>
      <c r="B118" s="117"/>
      <c r="C118" s="122"/>
      <c r="D118" s="122"/>
      <c r="E118" s="117"/>
      <c r="F118" s="118" t="s">
        <v>105</v>
      </c>
      <c r="G118" s="123">
        <f>SUM(G113:G117)</f>
        <v>-558.25</v>
      </c>
    </row>
    <row r="121" spans="1:10" ht="30" customHeight="1" x14ac:dyDescent="0.25">
      <c r="A121" s="190" t="s">
        <v>126</v>
      </c>
      <c r="B121" s="191"/>
      <c r="C121" s="191"/>
      <c r="D121" s="191"/>
      <c r="E121" s="191"/>
      <c r="F121" s="191"/>
      <c r="G121" s="191"/>
      <c r="H121" s="191"/>
      <c r="I121" s="192"/>
    </row>
    <row r="122" spans="1:10" ht="15" customHeight="1" x14ac:dyDescent="0.25">
      <c r="A122" s="5"/>
      <c r="B122" s="5"/>
      <c r="C122" s="5"/>
      <c r="H122" s="58"/>
      <c r="I122" s="84"/>
    </row>
    <row r="123" spans="1:10" ht="15" customHeight="1" x14ac:dyDescent="0.25">
      <c r="A123" s="94"/>
      <c r="B123" s="95"/>
      <c r="C123" s="95"/>
      <c r="D123" s="96"/>
      <c r="E123" s="97"/>
      <c r="F123" s="98" t="s">
        <v>89</v>
      </c>
      <c r="G123" s="99" t="s">
        <v>125</v>
      </c>
      <c r="H123" s="100"/>
      <c r="I123" s="101"/>
    </row>
    <row r="124" spans="1:10" ht="15" customHeight="1" x14ac:dyDescent="0.25">
      <c r="A124" s="21"/>
      <c r="B124" s="21"/>
      <c r="C124" s="21"/>
      <c r="D124" s="86"/>
      <c r="E124" s="87"/>
      <c r="F124" s="88"/>
      <c r="G124" s="89"/>
      <c r="H124" s="92"/>
      <c r="I124" s="92"/>
    </row>
    <row r="125" spans="1:10" ht="15" customHeight="1" x14ac:dyDescent="0.25">
      <c r="A125" s="47" t="s">
        <v>63</v>
      </c>
      <c r="B125" s="42"/>
      <c r="C125" s="42"/>
      <c r="D125" s="39"/>
      <c r="E125" s="43"/>
      <c r="F125" s="44"/>
      <c r="G125" s="44"/>
      <c r="H125" s="82"/>
      <c r="I125" s="82"/>
      <c r="J125" s="39"/>
    </row>
    <row r="126" spans="1:10" ht="15" customHeight="1" x14ac:dyDescent="0.25">
      <c r="A126" s="39" t="s">
        <v>45</v>
      </c>
      <c r="B126" s="39"/>
      <c r="C126" s="39"/>
      <c r="D126" s="39"/>
      <c r="E126" s="43"/>
      <c r="F126" s="44">
        <v>128000</v>
      </c>
      <c r="G126" s="44"/>
      <c r="H126" s="82"/>
      <c r="I126" s="82"/>
      <c r="J126" s="39"/>
    </row>
    <row r="127" spans="1:10" ht="15" customHeight="1" x14ac:dyDescent="0.25">
      <c r="A127" s="39" t="s">
        <v>160</v>
      </c>
      <c r="B127" s="39"/>
      <c r="C127" s="39"/>
      <c r="D127" s="39"/>
      <c r="E127" s="43"/>
      <c r="F127" s="44">
        <v>50000</v>
      </c>
      <c r="G127" s="44"/>
      <c r="H127" s="82"/>
      <c r="I127" s="82"/>
      <c r="J127" s="39"/>
    </row>
    <row r="128" spans="1:10" ht="15" customHeight="1" x14ac:dyDescent="0.25">
      <c r="A128" s="39"/>
      <c r="B128" s="39"/>
      <c r="C128" s="39"/>
      <c r="D128" s="39"/>
      <c r="E128" s="43"/>
      <c r="F128" s="44"/>
      <c r="G128" s="44"/>
      <c r="H128" s="82"/>
      <c r="I128" s="82"/>
      <c r="J128" s="39"/>
    </row>
    <row r="129" spans="1:12" ht="15" customHeight="1" x14ac:dyDescent="0.25">
      <c r="A129" s="39" t="s">
        <v>161</v>
      </c>
      <c r="B129" s="39"/>
      <c r="C129" s="39"/>
      <c r="D129" s="39"/>
      <c r="E129" s="43"/>
      <c r="F129" s="44">
        <v>50000</v>
      </c>
      <c r="G129" s="44"/>
      <c r="H129" s="82"/>
      <c r="I129" s="82"/>
      <c r="J129" s="39"/>
    </row>
    <row r="130" spans="1:12" ht="15" customHeight="1" x14ac:dyDescent="0.25">
      <c r="A130" s="39"/>
      <c r="B130" s="39"/>
      <c r="C130" s="39"/>
      <c r="D130" s="39"/>
      <c r="E130" s="52" t="s">
        <v>61</v>
      </c>
      <c r="F130" s="46">
        <f>SUM(F126:F129)</f>
        <v>228000</v>
      </c>
      <c r="G130" s="46"/>
      <c r="H130" s="82"/>
      <c r="I130" s="82"/>
      <c r="J130" s="39"/>
    </row>
    <row r="131" spans="1:12" ht="15" customHeight="1" x14ac:dyDescent="0.25">
      <c r="A131" s="39"/>
      <c r="B131" s="39"/>
      <c r="C131" s="39"/>
      <c r="D131" s="39"/>
      <c r="E131" s="52"/>
      <c r="F131" s="44"/>
      <c r="G131" s="44"/>
      <c r="H131" s="82"/>
      <c r="I131" s="82"/>
      <c r="J131" s="39"/>
    </row>
    <row r="132" spans="1:12" ht="15" customHeight="1" x14ac:dyDescent="0.25">
      <c r="A132" s="47" t="s">
        <v>64</v>
      </c>
      <c r="B132" s="39"/>
      <c r="C132" s="39"/>
      <c r="D132" s="39"/>
      <c r="E132" s="43"/>
      <c r="F132" s="44"/>
      <c r="G132" s="44"/>
      <c r="H132" s="82"/>
      <c r="I132" s="82"/>
      <c r="J132" s="39"/>
    </row>
    <row r="133" spans="1:12" ht="15" customHeight="1" x14ac:dyDescent="0.25">
      <c r="A133" s="39" t="s">
        <v>127</v>
      </c>
      <c r="B133" s="39"/>
      <c r="C133" s="39"/>
      <c r="D133" s="39"/>
      <c r="E133" s="43"/>
      <c r="F133" s="44"/>
      <c r="G133" s="44"/>
      <c r="H133" s="47" t="s">
        <v>123</v>
      </c>
      <c r="I133" s="82"/>
      <c r="J133" s="39"/>
    </row>
    <row r="134" spans="1:12" ht="15" customHeight="1" thickBot="1" x14ac:dyDescent="0.3">
      <c r="A134" s="47"/>
      <c r="B134" s="39"/>
      <c r="C134" s="39"/>
      <c r="D134" s="39"/>
      <c r="E134" s="52" t="s">
        <v>120</v>
      </c>
      <c r="F134" s="54">
        <f>SUM(F130:F133)</f>
        <v>228000</v>
      </c>
      <c r="G134" s="85">
        <f>+F134</f>
        <v>228000</v>
      </c>
      <c r="H134" s="58" t="s">
        <v>88</v>
      </c>
      <c r="I134" s="58"/>
      <c r="J134" s="39"/>
    </row>
    <row r="135" spans="1:12" ht="30" customHeight="1" thickTop="1" x14ac:dyDescent="0.25">
      <c r="A135" s="47"/>
      <c r="B135" s="39"/>
      <c r="C135" s="39"/>
      <c r="D135" s="39"/>
      <c r="E135" s="52"/>
      <c r="F135" s="44"/>
      <c r="G135" s="134">
        <f>+F129/0.5*0.5</f>
        <v>50000</v>
      </c>
      <c r="H135" s="213" t="s">
        <v>191</v>
      </c>
      <c r="I135" s="214"/>
      <c r="J135" s="39"/>
    </row>
    <row r="136" spans="1:12" ht="15" customHeight="1" x14ac:dyDescent="0.25">
      <c r="A136" s="47"/>
      <c r="B136" s="39"/>
      <c r="C136" s="39"/>
      <c r="D136" s="39"/>
      <c r="E136" s="52"/>
      <c r="F136" s="44"/>
      <c r="G136" s="134">
        <v>0</v>
      </c>
      <c r="H136" s="213" t="s">
        <v>158</v>
      </c>
      <c r="I136" s="214"/>
      <c r="J136" s="39"/>
    </row>
    <row r="137" spans="1:12" ht="15" customHeight="1" x14ac:dyDescent="0.25">
      <c r="A137" s="47"/>
      <c r="B137" s="39"/>
      <c r="C137" s="39"/>
      <c r="D137" s="39"/>
      <c r="E137" s="52"/>
      <c r="F137" s="44"/>
      <c r="G137" s="134">
        <v>0</v>
      </c>
      <c r="H137" s="193" t="s">
        <v>128</v>
      </c>
      <c r="I137" s="194"/>
      <c r="J137" s="39"/>
    </row>
    <row r="138" spans="1:12" ht="15" customHeight="1" x14ac:dyDescent="0.25">
      <c r="A138" s="47"/>
      <c r="B138" s="39"/>
      <c r="C138" s="39"/>
      <c r="D138" s="39"/>
      <c r="E138" s="52"/>
      <c r="F138" s="44"/>
      <c r="G138" s="133">
        <f>SUM(G134:G137)</f>
        <v>278000</v>
      </c>
      <c r="H138" s="93" t="s">
        <v>92</v>
      </c>
      <c r="I138" s="82"/>
      <c r="J138" s="39"/>
    </row>
    <row r="139" spans="1:12" ht="15" customHeight="1" x14ac:dyDescent="0.25">
      <c r="A139" s="47"/>
      <c r="B139" s="39"/>
      <c r="C139" s="39"/>
      <c r="D139" s="39"/>
      <c r="E139" s="52"/>
      <c r="F139" s="44"/>
      <c r="G139" s="44"/>
      <c r="H139" s="93"/>
      <c r="I139" s="82"/>
      <c r="J139" s="39"/>
    </row>
    <row r="140" spans="1:12" ht="15" customHeight="1" x14ac:dyDescent="0.25">
      <c r="A140" s="47" t="s">
        <v>65</v>
      </c>
      <c r="B140" s="39"/>
      <c r="C140" s="39"/>
      <c r="D140" s="39"/>
      <c r="E140" s="43"/>
      <c r="F140" s="80"/>
      <c r="G140" s="80"/>
      <c r="H140" s="47" t="s">
        <v>86</v>
      </c>
      <c r="I140" s="82"/>
      <c r="J140" s="39"/>
      <c r="K140" s="48" t="s">
        <v>84</v>
      </c>
      <c r="L140" s="49"/>
    </row>
    <row r="141" spans="1:12" ht="15" customHeight="1" x14ac:dyDescent="0.25">
      <c r="A141" s="47"/>
      <c r="B141" s="39"/>
      <c r="C141" s="39"/>
      <c r="D141" s="39"/>
      <c r="E141" s="43"/>
      <c r="F141" s="80"/>
      <c r="G141" s="80"/>
      <c r="H141" s="38"/>
      <c r="I141" s="82"/>
      <c r="J141" s="39"/>
      <c r="K141" s="50" t="s">
        <v>47</v>
      </c>
      <c r="L141" s="51">
        <f t="shared" ref="L141:L151" si="0">+L28</f>
        <v>57375</v>
      </c>
    </row>
    <row r="142" spans="1:12" ht="15" customHeight="1" x14ac:dyDescent="0.25">
      <c r="A142" s="55" t="s">
        <v>121</v>
      </c>
      <c r="B142" s="39"/>
      <c r="C142" s="39"/>
      <c r="D142" s="39"/>
      <c r="E142" s="43"/>
      <c r="F142" s="80"/>
      <c r="G142" s="80">
        <f>+G138</f>
        <v>278000</v>
      </c>
      <c r="H142" s="38" t="s">
        <v>92</v>
      </c>
      <c r="I142" s="82"/>
      <c r="J142" s="39"/>
      <c r="K142" s="50" t="s">
        <v>48</v>
      </c>
      <c r="L142" s="51">
        <f t="shared" si="0"/>
        <v>114750</v>
      </c>
    </row>
    <row r="143" spans="1:12" ht="15" customHeight="1" x14ac:dyDescent="0.25">
      <c r="A143" s="45" t="str">
        <f>+A30</f>
        <v>57 375 $ et moins:</v>
      </c>
      <c r="D143" s="56">
        <v>0.15</v>
      </c>
      <c r="E143" s="45">
        <f>+MIN(F134,$L$28)*D143</f>
        <v>8606.25</v>
      </c>
      <c r="F143" s="80"/>
      <c r="G143" s="80">
        <f>-(L143)</f>
        <v>-177882</v>
      </c>
      <c r="H143" s="38" t="s">
        <v>188</v>
      </c>
      <c r="I143" s="82"/>
      <c r="J143" s="39"/>
      <c r="K143" s="50" t="s">
        <v>49</v>
      </c>
      <c r="L143" s="51">
        <f t="shared" si="0"/>
        <v>177882</v>
      </c>
    </row>
    <row r="144" spans="1:12" ht="15" customHeight="1" x14ac:dyDescent="0.25">
      <c r="A144" s="45" t="str">
        <f>+A31</f>
        <v>Entre 57 376 $ et 114 750 $:</v>
      </c>
      <c r="D144" s="57">
        <v>0.20499999999999999</v>
      </c>
      <c r="E144" s="58">
        <f>MIN(($F$134-$L$28),($L$29-$L$28))*D144</f>
        <v>11761.875</v>
      </c>
      <c r="F144" s="80"/>
      <c r="G144" s="133">
        <f>+G142+G143</f>
        <v>100118</v>
      </c>
      <c r="H144" s="82"/>
      <c r="I144" s="82"/>
      <c r="J144" s="39"/>
      <c r="K144" s="50" t="s">
        <v>50</v>
      </c>
      <c r="L144" s="51">
        <f t="shared" si="0"/>
        <v>253414</v>
      </c>
    </row>
    <row r="145" spans="1:12" ht="15" customHeight="1" x14ac:dyDescent="0.25">
      <c r="A145" s="45" t="str">
        <f>+A32</f>
        <v>Entre 114 751 $ et 177 882 $:</v>
      </c>
      <c r="D145" s="56">
        <v>0.26</v>
      </c>
      <c r="E145" s="58">
        <f>MIN(($F$134-$L$29),($L$30-$L$29))*D145</f>
        <v>16414.32</v>
      </c>
      <c r="F145" s="80"/>
      <c r="G145" s="80"/>
      <c r="H145" s="82"/>
      <c r="I145" s="82"/>
      <c r="J145" s="39"/>
      <c r="K145" s="50" t="s">
        <v>51</v>
      </c>
      <c r="L145" s="51">
        <f t="shared" si="0"/>
        <v>16129</v>
      </c>
    </row>
    <row r="146" spans="1:12" ht="15" customHeight="1" x14ac:dyDescent="0.25">
      <c r="A146" s="45" t="str">
        <f>+A33</f>
        <v>Entre 177 883 $ et 253 414 $:</v>
      </c>
      <c r="D146" s="56">
        <v>0.28999999999999998</v>
      </c>
      <c r="E146" s="58">
        <f>MIN(($F$134-$L$30),($L$31-$L$30))*D146</f>
        <v>14534.22</v>
      </c>
      <c r="F146" s="80"/>
      <c r="G146" s="80"/>
      <c r="H146" s="82"/>
      <c r="I146" s="82"/>
      <c r="J146" s="39"/>
      <c r="K146" s="50" t="s">
        <v>52</v>
      </c>
      <c r="L146" s="51">
        <f t="shared" si="0"/>
        <v>4735</v>
      </c>
    </row>
    <row r="147" spans="1:12" ht="15" customHeight="1" x14ac:dyDescent="0.25">
      <c r="A147" s="45" t="str">
        <f>+A34</f>
        <v>253 415 $ et plus:</v>
      </c>
      <c r="D147" s="56">
        <v>0.33</v>
      </c>
      <c r="E147" s="59">
        <f>MAX(($F$134-L144),0)*D147</f>
        <v>0</v>
      </c>
      <c r="F147" s="80"/>
      <c r="G147" s="80"/>
      <c r="H147" s="82"/>
      <c r="I147" s="82"/>
      <c r="J147" s="39"/>
      <c r="K147" s="50" t="s">
        <v>53</v>
      </c>
      <c r="L147" s="51">
        <f t="shared" si="0"/>
        <v>484</v>
      </c>
    </row>
    <row r="148" spans="1:12" ht="15" customHeight="1" x14ac:dyDescent="0.25">
      <c r="A148" s="47"/>
      <c r="B148" s="39"/>
      <c r="C148" s="39"/>
      <c r="D148" s="39"/>
      <c r="E148" s="43">
        <f>SUM(E143:E147)</f>
        <v>51316.665000000001</v>
      </c>
      <c r="F148" s="61">
        <f>+E148</f>
        <v>51316.665000000001</v>
      </c>
      <c r="G148" s="61">
        <f>+G144*0.205</f>
        <v>20524.189999999999</v>
      </c>
      <c r="H148" s="82" t="s">
        <v>192</v>
      </c>
      <c r="I148" s="82"/>
      <c r="J148" s="39"/>
      <c r="K148" s="50" t="s">
        <v>54</v>
      </c>
      <c r="L148" s="51">
        <f t="shared" si="0"/>
        <v>861</v>
      </c>
    </row>
    <row r="149" spans="1:12" ht="15" customHeight="1" x14ac:dyDescent="0.25">
      <c r="A149" s="47"/>
      <c r="B149" s="39"/>
      <c r="C149" s="39"/>
      <c r="D149" s="39"/>
      <c r="E149" s="43"/>
      <c r="F149" s="60"/>
      <c r="G149" s="60"/>
      <c r="H149" s="162"/>
      <c r="I149" s="82"/>
      <c r="J149" s="39"/>
      <c r="K149" s="50" t="s">
        <v>55</v>
      </c>
      <c r="L149" s="51">
        <f t="shared" si="0"/>
        <v>1471</v>
      </c>
    </row>
    <row r="150" spans="1:12" ht="15" customHeight="1" thickBot="1" x14ac:dyDescent="0.3">
      <c r="A150" s="55" t="s">
        <v>67</v>
      </c>
      <c r="B150" s="63"/>
      <c r="C150" s="39"/>
      <c r="D150" s="39"/>
      <c r="E150" s="43"/>
      <c r="F150" s="60"/>
      <c r="G150" s="60"/>
      <c r="H150" s="128"/>
      <c r="I150" s="82"/>
      <c r="J150" s="39"/>
      <c r="K150" s="50" t="s">
        <v>56</v>
      </c>
      <c r="L150" s="51">
        <f t="shared" si="0"/>
        <v>2834</v>
      </c>
    </row>
    <row r="151" spans="1:12" ht="15" customHeight="1" x14ac:dyDescent="0.25">
      <c r="A151" s="75" t="s">
        <v>68</v>
      </c>
      <c r="B151" s="63"/>
      <c r="C151" s="39"/>
      <c r="D151" s="39"/>
      <c r="E151" s="43"/>
      <c r="F151" s="125">
        <f>-$L$32*0.15</f>
        <v>-2419.35</v>
      </c>
      <c r="G151" s="125">
        <f>+F151/2</f>
        <v>-1209.675</v>
      </c>
      <c r="H151" s="195" t="s">
        <v>171</v>
      </c>
      <c r="I151" s="196"/>
      <c r="J151" s="39"/>
      <c r="K151" s="50" t="s">
        <v>57</v>
      </c>
      <c r="L151" s="51">
        <f t="shared" si="0"/>
        <v>9028</v>
      </c>
    </row>
    <row r="152" spans="1:12" ht="15" customHeight="1" x14ac:dyDescent="0.25">
      <c r="A152" s="67" t="s">
        <v>169</v>
      </c>
      <c r="B152" s="63"/>
      <c r="C152" s="39"/>
      <c r="D152" s="39"/>
      <c r="E152" s="43"/>
      <c r="F152" s="126"/>
      <c r="G152" s="126"/>
      <c r="H152" s="197"/>
      <c r="I152" s="198"/>
      <c r="J152" s="39"/>
      <c r="K152" s="50" t="s">
        <v>58</v>
      </c>
      <c r="L152" s="51">
        <f>+L39</f>
        <v>45522</v>
      </c>
    </row>
    <row r="153" spans="1:12" ht="15" customHeight="1" x14ac:dyDescent="0.25">
      <c r="A153" s="76" t="s">
        <v>93</v>
      </c>
      <c r="B153" s="71"/>
      <c r="C153" s="71"/>
      <c r="D153" s="71"/>
      <c r="E153" s="71"/>
      <c r="F153" s="126"/>
      <c r="G153" s="126"/>
      <c r="H153" s="197"/>
      <c r="I153" s="198"/>
      <c r="J153" s="39"/>
      <c r="K153" s="50" t="s">
        <v>59</v>
      </c>
      <c r="L153" s="51">
        <f>+L40</f>
        <v>8601</v>
      </c>
    </row>
    <row r="154" spans="1:12" ht="15" customHeight="1" x14ac:dyDescent="0.25">
      <c r="A154" s="72" t="str">
        <f>+A41</f>
        <v>15 % x (16 129 $ (+) 0 $ (-) 0 $)</v>
      </c>
      <c r="B154" s="71"/>
      <c r="C154" s="71"/>
      <c r="D154" s="71"/>
      <c r="E154" s="71"/>
      <c r="F154" s="126">
        <f>+F151</f>
        <v>-2419.35</v>
      </c>
      <c r="G154" s="126">
        <f>+F154/2</f>
        <v>-1209.675</v>
      </c>
      <c r="H154" s="197"/>
      <c r="I154" s="198"/>
      <c r="J154" s="39"/>
      <c r="K154" s="50" t="s">
        <v>62</v>
      </c>
      <c r="L154" s="51">
        <f>+L41</f>
        <v>10138</v>
      </c>
    </row>
    <row r="155" spans="1:12" ht="15" customHeight="1" x14ac:dyDescent="0.25">
      <c r="A155" s="72" t="str">
        <f>+A42</f>
        <v>Il est préférable de choisir François puisque son revenu est nul.</v>
      </c>
      <c r="B155" s="71"/>
      <c r="C155" s="71"/>
      <c r="D155" s="71"/>
      <c r="E155" s="71"/>
      <c r="F155" s="126"/>
      <c r="G155" s="126"/>
      <c r="H155" s="197"/>
      <c r="I155" s="198"/>
      <c r="J155" s="39"/>
    </row>
    <row r="156" spans="1:12" ht="15" customHeight="1" x14ac:dyDescent="0.25">
      <c r="A156" s="77" t="s">
        <v>70</v>
      </c>
      <c r="B156" s="39"/>
      <c r="C156" s="39"/>
      <c r="D156" s="39"/>
      <c r="E156" s="43"/>
      <c r="F156" s="126">
        <f>+F49</f>
        <v>-15.899999999999999</v>
      </c>
      <c r="G156" s="126">
        <f>+F156/2</f>
        <v>-7.9499999999999993</v>
      </c>
      <c r="H156" s="197"/>
      <c r="I156" s="198"/>
      <c r="J156" s="39"/>
    </row>
    <row r="157" spans="1:12" ht="15" customHeight="1" x14ac:dyDescent="0.25">
      <c r="A157" s="65" t="s">
        <v>193</v>
      </c>
      <c r="B157" s="39"/>
      <c r="C157" s="39"/>
      <c r="D157" s="39"/>
      <c r="E157" s="43"/>
      <c r="F157" s="126"/>
      <c r="G157" s="126"/>
      <c r="H157" s="197"/>
      <c r="I157" s="198"/>
      <c r="J157" s="39"/>
    </row>
    <row r="158" spans="1:12" ht="15" customHeight="1" x14ac:dyDescent="0.25">
      <c r="A158" s="67" t="s">
        <v>181</v>
      </c>
      <c r="B158" s="68"/>
      <c r="C158" s="68"/>
      <c r="D158" s="68"/>
      <c r="E158" s="69"/>
      <c r="F158" s="126"/>
      <c r="G158" s="126"/>
      <c r="H158" s="197"/>
      <c r="I158" s="198"/>
      <c r="J158" s="39"/>
    </row>
    <row r="159" spans="1:12" ht="15" customHeight="1" x14ac:dyDescent="0.25">
      <c r="A159" s="67" t="s">
        <v>142</v>
      </c>
      <c r="B159" s="68"/>
      <c r="C159" s="68"/>
      <c r="D159" s="68"/>
      <c r="E159" s="69"/>
      <c r="F159" s="126"/>
      <c r="G159" s="126"/>
      <c r="H159" s="197"/>
      <c r="I159" s="198"/>
      <c r="J159" s="39"/>
    </row>
    <row r="160" spans="1:12" ht="15" customHeight="1" x14ac:dyDescent="0.25">
      <c r="A160" s="67" t="s">
        <v>182</v>
      </c>
      <c r="B160" s="68"/>
      <c r="C160" s="68"/>
      <c r="D160" s="68"/>
      <c r="E160" s="69"/>
      <c r="F160" s="126"/>
      <c r="G160" s="126"/>
      <c r="H160" s="197"/>
      <c r="I160" s="198"/>
      <c r="J160" s="39"/>
    </row>
    <row r="161" spans="1:10" ht="15" customHeight="1" x14ac:dyDescent="0.25">
      <c r="A161" s="79" t="s">
        <v>72</v>
      </c>
      <c r="B161" s="64"/>
      <c r="C161" s="39"/>
      <c r="D161" s="39"/>
      <c r="E161" s="43"/>
      <c r="F161" s="126"/>
      <c r="G161" s="126"/>
      <c r="H161" s="197"/>
      <c r="I161" s="198"/>
      <c r="J161" s="39"/>
    </row>
    <row r="162" spans="1:10" ht="15" customHeight="1" x14ac:dyDescent="0.25">
      <c r="A162" s="64"/>
      <c r="B162" s="64"/>
      <c r="C162" s="39"/>
      <c r="D162" s="39"/>
      <c r="E162" s="43" t="s">
        <v>75</v>
      </c>
      <c r="F162" s="126">
        <f>-L146*0.15</f>
        <v>-710.25</v>
      </c>
      <c r="G162" s="126">
        <f>+F162/2</f>
        <v>-355.125</v>
      </c>
      <c r="H162" s="197"/>
      <c r="I162" s="198"/>
      <c r="J162" s="39"/>
    </row>
    <row r="163" spans="1:10" ht="15" customHeight="1" x14ac:dyDescent="0.25">
      <c r="A163" s="64"/>
      <c r="B163" s="64"/>
      <c r="C163" s="39"/>
      <c r="D163" s="39"/>
      <c r="E163" s="43" t="s">
        <v>76</v>
      </c>
      <c r="F163" s="126">
        <f t="shared" ref="F163:F165" si="1">-L147*0.15</f>
        <v>-72.599999999999994</v>
      </c>
      <c r="G163" s="126">
        <f>+F163/2</f>
        <v>-36.299999999999997</v>
      </c>
      <c r="H163" s="197"/>
      <c r="I163" s="198"/>
      <c r="J163" s="39"/>
    </row>
    <row r="164" spans="1:10" ht="15" customHeight="1" x14ac:dyDescent="0.25">
      <c r="A164" s="64"/>
      <c r="B164" s="64"/>
      <c r="C164" s="39"/>
      <c r="D164" s="39"/>
      <c r="E164" s="43" t="s">
        <v>77</v>
      </c>
      <c r="F164" s="126">
        <f t="shared" si="1"/>
        <v>-129.15</v>
      </c>
      <c r="G164" s="126">
        <f>+F164/2</f>
        <v>-64.575000000000003</v>
      </c>
      <c r="H164" s="197"/>
      <c r="I164" s="198"/>
      <c r="J164" s="39"/>
    </row>
    <row r="165" spans="1:10" ht="15" customHeight="1" thickBot="1" x14ac:dyDescent="0.3">
      <c r="A165" s="42" t="s">
        <v>73</v>
      </c>
      <c r="B165" s="39"/>
      <c r="C165" s="39"/>
      <c r="D165" s="39"/>
      <c r="E165" s="43"/>
      <c r="F165" s="127">
        <f t="shared" si="1"/>
        <v>-220.65</v>
      </c>
      <c r="G165" s="127">
        <f>+F165/2</f>
        <v>-110.325</v>
      </c>
      <c r="H165" s="199"/>
      <c r="I165" s="200"/>
      <c r="J165" s="39"/>
    </row>
    <row r="166" spans="1:10" ht="15" customHeight="1" thickBot="1" x14ac:dyDescent="0.3">
      <c r="A166" s="39"/>
      <c r="B166" s="39"/>
      <c r="C166" s="39"/>
      <c r="D166" s="39"/>
      <c r="E166" s="52" t="s">
        <v>83</v>
      </c>
      <c r="F166" s="130">
        <f>+SUM(F148:F165)</f>
        <v>45329.415000000001</v>
      </c>
      <c r="G166" s="130">
        <f>MAX(+SUM(G148:G165),0)</f>
        <v>17530.564999999999</v>
      </c>
      <c r="H166" s="129" t="s">
        <v>124</v>
      </c>
      <c r="I166" s="82"/>
      <c r="J166" s="39"/>
    </row>
    <row r="167" spans="1:10" ht="15" customHeight="1" thickBot="1" x14ac:dyDescent="0.3">
      <c r="A167" s="74"/>
      <c r="B167" s="74"/>
      <c r="C167" s="74"/>
      <c r="D167" s="74"/>
      <c r="E167" s="131" t="s">
        <v>122</v>
      </c>
      <c r="F167" s="130">
        <f>+F166</f>
        <v>45329.415000000001</v>
      </c>
      <c r="G167" s="60"/>
      <c r="H167" s="82"/>
      <c r="I167" s="82"/>
      <c r="J167" s="39"/>
    </row>
    <row r="168" spans="1:10" ht="15" customHeight="1" x14ac:dyDescent="0.25">
      <c r="A168" s="207" t="s">
        <v>131</v>
      </c>
      <c r="B168" s="207"/>
      <c r="C168" s="207"/>
      <c r="D168" s="207"/>
      <c r="E168" s="208"/>
      <c r="F168" s="146"/>
      <c r="G168" s="60"/>
      <c r="H168" s="82"/>
      <c r="I168" s="82"/>
      <c r="J168" s="39"/>
    </row>
    <row r="169" spans="1:10" ht="15" customHeight="1" x14ac:dyDescent="0.25">
      <c r="A169" s="207"/>
      <c r="B169" s="207"/>
      <c r="C169" s="207"/>
      <c r="D169" s="207"/>
      <c r="E169" s="208"/>
      <c r="F169" s="146">
        <f>-(F167-G166)</f>
        <v>-27798.850000000002</v>
      </c>
      <c r="G169" s="60"/>
      <c r="H169" s="82"/>
      <c r="I169" s="82"/>
      <c r="J169" s="39"/>
    </row>
    <row r="170" spans="1:10" ht="15" customHeight="1" x14ac:dyDescent="0.25">
      <c r="A170" s="209" t="s">
        <v>132</v>
      </c>
      <c r="B170" s="209"/>
      <c r="C170" s="209"/>
      <c r="D170" s="209"/>
      <c r="E170" s="210"/>
      <c r="F170" s="211">
        <f>+F167+F169</f>
        <v>17530.564999999999</v>
      </c>
      <c r="G170" s="60"/>
      <c r="H170" s="147"/>
      <c r="I170" s="82"/>
      <c r="J170" s="39"/>
    </row>
    <row r="171" spans="1:10" ht="15" customHeight="1" x14ac:dyDescent="0.25">
      <c r="A171" s="209"/>
      <c r="B171" s="209"/>
      <c r="C171" s="209"/>
      <c r="D171" s="209"/>
      <c r="E171" s="210"/>
      <c r="F171" s="212"/>
      <c r="G171" s="60"/>
      <c r="H171" s="147"/>
      <c r="I171" s="82"/>
      <c r="J171" s="39"/>
    </row>
    <row r="172" spans="1:10" ht="15" customHeight="1" x14ac:dyDescent="0.25">
      <c r="A172" s="148"/>
      <c r="B172" s="148"/>
      <c r="C172" s="148"/>
      <c r="D172" s="148"/>
      <c r="E172" s="149"/>
      <c r="F172" s="150"/>
      <c r="G172" s="60"/>
      <c r="H172" s="147"/>
      <c r="I172" s="82"/>
      <c r="J172" s="39"/>
    </row>
    <row r="173" spans="1:10" ht="15" customHeight="1" x14ac:dyDescent="0.25">
      <c r="A173" s="41" t="s">
        <v>78</v>
      </c>
      <c r="B173" s="39"/>
      <c r="C173" s="39"/>
      <c r="D173" s="39"/>
      <c r="E173" s="43"/>
      <c r="F173" s="60"/>
      <c r="G173" s="60"/>
      <c r="H173" s="82"/>
      <c r="I173" s="82"/>
      <c r="J173" s="39"/>
    </row>
    <row r="174" spans="1:10" ht="15" customHeight="1" x14ac:dyDescent="0.25">
      <c r="A174" s="40" t="s">
        <v>136</v>
      </c>
      <c r="B174" s="39"/>
      <c r="C174" s="39"/>
      <c r="D174" s="39"/>
      <c r="E174" s="43"/>
      <c r="F174" s="60">
        <f>-F170*0.165</f>
        <v>-2892.5432249999999</v>
      </c>
      <c r="G174" s="60"/>
      <c r="H174" s="82"/>
      <c r="I174" s="82"/>
      <c r="J174" s="39"/>
    </row>
    <row r="175" spans="1:10" ht="15" customHeight="1" x14ac:dyDescent="0.25">
      <c r="A175" s="47"/>
      <c r="B175" s="39"/>
      <c r="C175" s="39"/>
      <c r="D175" s="39"/>
      <c r="E175" s="52"/>
      <c r="F175" s="60"/>
      <c r="G175" s="60"/>
      <c r="H175" s="82"/>
      <c r="I175" s="82"/>
      <c r="J175" s="39"/>
    </row>
    <row r="176" spans="1:10" ht="15" customHeight="1" x14ac:dyDescent="0.25">
      <c r="A176" s="41" t="s">
        <v>79</v>
      </c>
      <c r="B176" s="39"/>
      <c r="C176" s="39"/>
      <c r="D176" s="39"/>
      <c r="E176" s="43"/>
      <c r="F176" s="60"/>
      <c r="G176" s="60"/>
      <c r="H176" s="82"/>
      <c r="I176" s="82"/>
      <c r="J176" s="39"/>
    </row>
    <row r="177" spans="1:10" ht="15" customHeight="1" x14ac:dyDescent="0.25">
      <c r="A177" s="42" t="s">
        <v>97</v>
      </c>
      <c r="B177" s="39"/>
      <c r="C177" s="39"/>
      <c r="D177" s="39"/>
      <c r="E177" s="43"/>
      <c r="F177" s="60">
        <f>+G200</f>
        <v>-558.25</v>
      </c>
      <c r="G177" s="163" t="s">
        <v>153</v>
      </c>
      <c r="H177" s="82"/>
      <c r="I177" s="82"/>
      <c r="J177" s="39"/>
    </row>
    <row r="178" spans="1:10" ht="15" customHeight="1" x14ac:dyDescent="0.25">
      <c r="A178" s="67" t="s">
        <v>165</v>
      </c>
      <c r="B178" s="39"/>
      <c r="C178" s="39"/>
      <c r="D178" s="39"/>
      <c r="E178" s="43"/>
      <c r="F178" s="60"/>
      <c r="G178" s="60"/>
      <c r="H178" s="82"/>
      <c r="I178" s="82"/>
      <c r="J178" s="39"/>
    </row>
    <row r="179" spans="1:10" ht="15" customHeight="1" x14ac:dyDescent="0.25">
      <c r="A179" s="41"/>
      <c r="B179" s="39"/>
      <c r="C179" s="39"/>
      <c r="D179" s="39"/>
      <c r="E179" s="52" t="s">
        <v>82</v>
      </c>
      <c r="F179" s="61">
        <f>SUM(F170:F178)</f>
        <v>14079.771774999999</v>
      </c>
      <c r="G179" s="61"/>
      <c r="H179" s="129" t="str">
        <f>+E179</f>
        <v>Impôt payable</v>
      </c>
      <c r="I179" s="82"/>
      <c r="J179" s="39"/>
    </row>
    <row r="180" spans="1:10" ht="15" customHeight="1" x14ac:dyDescent="0.25">
      <c r="A180" s="41"/>
      <c r="B180" s="39"/>
      <c r="C180" s="39"/>
      <c r="D180" s="39"/>
      <c r="E180" s="52"/>
      <c r="F180" s="60"/>
      <c r="G180" s="60"/>
      <c r="H180" s="82"/>
      <c r="I180" s="82"/>
      <c r="J180" s="39"/>
    </row>
    <row r="181" spans="1:10" ht="15" customHeight="1" x14ac:dyDescent="0.25">
      <c r="A181" s="41" t="s">
        <v>80</v>
      </c>
      <c r="B181" s="39"/>
      <c r="C181" s="39"/>
      <c r="D181" s="39"/>
      <c r="E181" s="43"/>
      <c r="F181" s="60"/>
      <c r="G181" s="60"/>
      <c r="H181" s="82"/>
      <c r="I181" s="82"/>
      <c r="J181" s="39"/>
    </row>
    <row r="182" spans="1:10" ht="15" customHeight="1" x14ac:dyDescent="0.25">
      <c r="A182" s="1" t="s">
        <v>81</v>
      </c>
      <c r="B182" s="39"/>
      <c r="C182" s="39"/>
      <c r="D182" s="39"/>
      <c r="E182" s="43"/>
      <c r="F182" s="60">
        <v>-26000</v>
      </c>
      <c r="G182" s="60"/>
      <c r="H182" s="82"/>
      <c r="I182" s="82"/>
      <c r="J182" s="39"/>
    </row>
    <row r="183" spans="1:10" ht="15" customHeight="1" x14ac:dyDescent="0.25">
      <c r="A183" s="41"/>
      <c r="B183" s="39"/>
      <c r="C183" s="39"/>
      <c r="D183" s="39"/>
      <c r="E183" s="43"/>
      <c r="F183" s="66"/>
      <c r="G183" s="66"/>
      <c r="H183" s="82"/>
      <c r="I183" s="82"/>
      <c r="J183" s="39"/>
    </row>
    <row r="184" spans="1:10" ht="15" customHeight="1" thickBot="1" x14ac:dyDescent="0.3">
      <c r="A184" s="39"/>
      <c r="B184" s="40"/>
      <c r="C184" s="40"/>
      <c r="D184" s="39"/>
      <c r="E184" s="81" t="s">
        <v>66</v>
      </c>
      <c r="F184" s="62">
        <f>SUM(F179:F183)</f>
        <v>-11920.228225000001</v>
      </c>
      <c r="G184" s="62"/>
      <c r="H184" s="129" t="str">
        <f>+E184</f>
        <v>SOLDE DÛ (ou remboursement)</v>
      </c>
      <c r="I184" s="83"/>
      <c r="J184" s="39"/>
    </row>
    <row r="185" spans="1:10" ht="15" customHeight="1" thickTop="1" x14ac:dyDescent="0.25">
      <c r="H185" s="58"/>
      <c r="I185" s="84"/>
    </row>
    <row r="186" spans="1:10" ht="15" customHeight="1" x14ac:dyDescent="0.25">
      <c r="A186" s="137"/>
      <c r="B186" s="138"/>
      <c r="C186" s="139"/>
      <c r="D186" s="139"/>
      <c r="E186" s="140" t="s">
        <v>134</v>
      </c>
      <c r="F186" s="138"/>
      <c r="G186" s="141"/>
      <c r="H186" s="58"/>
      <c r="I186" s="84"/>
    </row>
    <row r="187" spans="1:10" ht="15" customHeight="1" x14ac:dyDescent="0.25">
      <c r="A187" s="151"/>
      <c r="B187" s="152"/>
      <c r="C187" s="153"/>
      <c r="D187" s="153"/>
      <c r="E187" s="155" t="s">
        <v>133</v>
      </c>
      <c r="F187" s="152"/>
      <c r="G187" s="154">
        <f>+G84</f>
        <v>28830.573000000004</v>
      </c>
      <c r="H187" s="58"/>
      <c r="I187" s="84"/>
    </row>
    <row r="188" spans="1:10" ht="15" customHeight="1" x14ac:dyDescent="0.25">
      <c r="A188" s="156"/>
      <c r="B188" s="157"/>
      <c r="C188" s="158"/>
      <c r="D188" s="158"/>
      <c r="E188" s="161" t="s">
        <v>139</v>
      </c>
      <c r="F188" s="157"/>
      <c r="G188" s="159">
        <f>+F169</f>
        <v>-27798.850000000002</v>
      </c>
      <c r="H188" s="58"/>
      <c r="I188" s="84"/>
    </row>
    <row r="189" spans="1:10" ht="15" customHeight="1" x14ac:dyDescent="0.25">
      <c r="A189" s="142"/>
      <c r="B189" s="143"/>
      <c r="C189" s="143"/>
      <c r="D189" s="143"/>
      <c r="E189" s="144" t="s">
        <v>135</v>
      </c>
      <c r="F189" s="145"/>
      <c r="G189" s="160">
        <f>+G187+G188</f>
        <v>1031.7230000000018</v>
      </c>
      <c r="H189" s="58"/>
      <c r="I189" s="84"/>
    </row>
    <row r="190" spans="1:10" ht="15" customHeight="1" x14ac:dyDescent="0.25">
      <c r="H190" s="58"/>
      <c r="I190" s="84"/>
    </row>
    <row r="191" spans="1:10" ht="15" customHeight="1" x14ac:dyDescent="0.25">
      <c r="A191" s="1" t="s">
        <v>166</v>
      </c>
    </row>
    <row r="192" spans="1:10" ht="15" customHeight="1" x14ac:dyDescent="0.25">
      <c r="A192" s="201" t="s">
        <v>138</v>
      </c>
      <c r="B192" s="202"/>
      <c r="C192" s="202"/>
      <c r="D192" s="202"/>
      <c r="E192" s="205">
        <v>1000</v>
      </c>
      <c r="F192" s="105"/>
      <c r="G192" s="106"/>
    </row>
    <row r="193" spans="1:7" ht="15" customHeight="1" x14ac:dyDescent="0.25">
      <c r="A193" s="203"/>
      <c r="B193" s="204"/>
      <c r="C193" s="204"/>
      <c r="D193" s="204"/>
      <c r="E193" s="206"/>
      <c r="G193" s="108"/>
    </row>
    <row r="194" spans="1:7" ht="15" customHeight="1" x14ac:dyDescent="0.25">
      <c r="A194" s="107"/>
      <c r="B194" s="121"/>
      <c r="C194" s="65"/>
      <c r="D194" s="56"/>
      <c r="E194" s="108"/>
      <c r="F194" s="119" t="s">
        <v>107</v>
      </c>
      <c r="G194" s="108"/>
    </row>
    <row r="195" spans="1:7" ht="15" customHeight="1" x14ac:dyDescent="0.25">
      <c r="A195" s="109" t="s">
        <v>115</v>
      </c>
      <c r="B195" s="45"/>
      <c r="C195" s="21"/>
      <c r="D195" s="21"/>
      <c r="E195" s="110">
        <v>400</v>
      </c>
      <c r="F195" s="56">
        <v>0.75</v>
      </c>
      <c r="G195" s="108">
        <f>-E195*F195</f>
        <v>-300</v>
      </c>
    </row>
    <row r="196" spans="1:7" ht="15" customHeight="1" x14ac:dyDescent="0.25">
      <c r="A196" s="107"/>
      <c r="B196" s="121"/>
      <c r="C196" s="21"/>
      <c r="D196" s="21"/>
      <c r="E196" s="111"/>
      <c r="F196" s="56"/>
      <c r="G196" s="108"/>
    </row>
    <row r="197" spans="1:7" ht="15" customHeight="1" x14ac:dyDescent="0.25">
      <c r="A197" s="109" t="s">
        <v>116</v>
      </c>
      <c r="B197" s="45"/>
      <c r="C197" s="21"/>
      <c r="D197" s="21"/>
      <c r="E197" s="112">
        <f>750-400</f>
        <v>350</v>
      </c>
      <c r="F197" s="56">
        <v>0.5</v>
      </c>
      <c r="G197" s="108">
        <f>-E197*F197</f>
        <v>-175</v>
      </c>
    </row>
    <row r="198" spans="1:7" ht="15" customHeight="1" x14ac:dyDescent="0.25">
      <c r="A198" s="107"/>
      <c r="B198" s="121"/>
      <c r="C198" s="21"/>
      <c r="D198" s="21"/>
      <c r="E198" s="111"/>
      <c r="F198" s="56"/>
      <c r="G198" s="108"/>
    </row>
    <row r="199" spans="1:7" ht="15" customHeight="1" x14ac:dyDescent="0.25">
      <c r="A199" s="109" t="s">
        <v>117</v>
      </c>
      <c r="B199" s="121"/>
      <c r="C199" s="21"/>
      <c r="D199" s="21"/>
      <c r="E199" s="114">
        <f>+E192-E195-E197</f>
        <v>250</v>
      </c>
      <c r="F199" s="57">
        <v>0.33300000000000002</v>
      </c>
      <c r="G199" s="115">
        <f>-E199*F199</f>
        <v>-83.25</v>
      </c>
    </row>
    <row r="200" spans="1:7" ht="15" customHeight="1" x14ac:dyDescent="0.25">
      <c r="A200" s="116"/>
      <c r="B200" s="117"/>
      <c r="C200" s="122"/>
      <c r="D200" s="122"/>
      <c r="E200" s="117"/>
      <c r="F200" s="118" t="s">
        <v>105</v>
      </c>
      <c r="G200" s="123">
        <f>SUM(G195:G199)</f>
        <v>-558.25</v>
      </c>
    </row>
    <row r="203" spans="1:7" ht="15" customHeight="1" x14ac:dyDescent="0.25">
      <c r="A203" s="164"/>
    </row>
  </sheetData>
  <mergeCells count="18">
    <mergeCell ref="A5:I5"/>
    <mergeCell ref="A110:D111"/>
    <mergeCell ref="E110:E111"/>
    <mergeCell ref="H38:I63"/>
    <mergeCell ref="H23:I23"/>
    <mergeCell ref="H24:I24"/>
    <mergeCell ref="A87:I94"/>
    <mergeCell ref="H22:I22"/>
    <mergeCell ref="A121:I121"/>
    <mergeCell ref="H137:I137"/>
    <mergeCell ref="H151:I165"/>
    <mergeCell ref="A192:D193"/>
    <mergeCell ref="E192:E193"/>
    <mergeCell ref="A168:E169"/>
    <mergeCell ref="A170:E171"/>
    <mergeCell ref="F170:F171"/>
    <mergeCell ref="H135:I135"/>
    <mergeCell ref="H136:I136"/>
  </mergeCells>
  <pageMargins left="0.98425196850393704" right="0.98425196850393704" top="0.98425196850393704" bottom="0.98425196850393704" header="0.51181102362204722" footer="0.51181102362204722"/>
  <pageSetup scale="81" fitToHeight="0" orientation="portrait" r:id="rId1"/>
  <headerFooter alignWithMargins="0"/>
  <rowBreaks count="4" manualBreakCount="4">
    <brk id="26" max="8" man="1"/>
    <brk id="120" max="16383" man="1"/>
    <brk id="139" max="8" man="1"/>
    <brk id="190"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8EA1-1C9D-4459-84F8-DBDF5CE0F1AE}">
  <sheetPr>
    <tabColor theme="0" tint="-0.499984740745262"/>
    <pageSetUpPr fitToPage="1"/>
  </sheetPr>
  <dimension ref="A1:L204"/>
  <sheetViews>
    <sheetView zoomScale="145" zoomScaleNormal="145" workbookViewId="0"/>
  </sheetViews>
  <sheetFormatPr baseColWidth="10" defaultRowHeight="15" customHeight="1" x14ac:dyDescent="0.25"/>
  <cols>
    <col min="1" max="1" width="9.33203125" style="1" customWidth="1"/>
    <col min="2" max="2" width="9.77734375" style="1" customWidth="1"/>
    <col min="3" max="3" width="2.5546875" style="1" customWidth="1"/>
    <col min="4" max="4" width="5.33203125" style="1" bestFit="1" customWidth="1"/>
    <col min="5" max="5" width="8.44140625" style="38" customWidth="1"/>
    <col min="6" max="7" width="9" style="45" customWidth="1"/>
    <col min="8" max="8" width="14.109375" style="90" customWidth="1"/>
    <col min="9" max="9" width="17.109375" style="91" customWidth="1"/>
    <col min="10" max="10" width="2.33203125" style="1" customWidth="1"/>
    <col min="11" max="11" width="12.44140625" style="1" hidden="1" customWidth="1"/>
    <col min="12" max="12" width="8.77734375" style="1" hidden="1" customWidth="1"/>
    <col min="13" max="16384" width="11.5546875" style="1"/>
  </cols>
  <sheetData>
    <row r="1" spans="1:10" ht="15" customHeight="1" x14ac:dyDescent="0.25">
      <c r="A1" s="37" t="s">
        <v>85</v>
      </c>
      <c r="B1" s="37"/>
      <c r="C1" s="37"/>
    </row>
    <row r="3" spans="1:10" ht="15" customHeight="1" x14ac:dyDescent="0.25">
      <c r="A3" s="5" t="s">
        <v>46</v>
      </c>
      <c r="B3" s="5"/>
      <c r="C3" s="5"/>
      <c r="H3" s="58"/>
      <c r="I3" s="84"/>
    </row>
    <row r="4" spans="1:10" ht="15" customHeight="1" x14ac:dyDescent="0.25">
      <c r="A4" s="5"/>
      <c r="B4" s="5"/>
      <c r="C4" s="5"/>
      <c r="H4" s="58"/>
      <c r="I4" s="84"/>
    </row>
    <row r="5" spans="1:10" ht="15" customHeight="1" x14ac:dyDescent="0.25">
      <c r="A5" s="217" t="s">
        <v>90</v>
      </c>
      <c r="B5" s="218"/>
      <c r="C5" s="218"/>
      <c r="D5" s="218"/>
      <c r="E5" s="218"/>
      <c r="F5" s="218"/>
      <c r="G5" s="218"/>
      <c r="H5" s="218"/>
      <c r="I5" s="219"/>
    </row>
    <row r="6" spans="1:10" ht="15" customHeight="1" x14ac:dyDescent="0.25">
      <c r="A6" s="5"/>
      <c r="B6" s="5"/>
      <c r="C6" s="5"/>
      <c r="H6" s="58"/>
      <c r="I6" s="84"/>
    </row>
    <row r="7" spans="1:10" ht="15.75" x14ac:dyDescent="0.25">
      <c r="A7" s="94"/>
      <c r="B7" s="95"/>
      <c r="C7" s="95"/>
      <c r="D7" s="96"/>
      <c r="E7" s="97"/>
      <c r="F7" s="98" t="s">
        <v>89</v>
      </c>
      <c r="G7" s="99" t="s">
        <v>125</v>
      </c>
      <c r="H7" s="100"/>
      <c r="I7" s="101"/>
    </row>
    <row r="8" spans="1:10" ht="15.75" x14ac:dyDescent="0.25">
      <c r="A8" s="21"/>
      <c r="B8" s="21"/>
      <c r="C8" s="21"/>
      <c r="D8" s="86"/>
      <c r="E8" s="87"/>
      <c r="F8" s="88"/>
      <c r="G8" s="89"/>
      <c r="H8" s="92"/>
      <c r="I8" s="92"/>
    </row>
    <row r="9" spans="1:10" ht="15" customHeight="1" x14ac:dyDescent="0.25">
      <c r="A9" s="165" t="s">
        <v>63</v>
      </c>
      <c r="B9" s="166"/>
      <c r="C9" s="166"/>
      <c r="D9" s="167"/>
      <c r="E9" s="168"/>
      <c r="F9" s="169"/>
      <c r="G9" s="169"/>
      <c r="H9" s="82"/>
      <c r="I9" s="82"/>
      <c r="J9" s="39"/>
    </row>
    <row r="10" spans="1:10" ht="15" hidden="1" customHeight="1" x14ac:dyDescent="0.25">
      <c r="A10" s="167" t="s">
        <v>45</v>
      </c>
      <c r="B10" s="167"/>
      <c r="C10" s="167"/>
      <c r="D10" s="167"/>
      <c r="E10" s="168"/>
      <c r="F10" s="169">
        <v>133000</v>
      </c>
      <c r="G10" s="169"/>
      <c r="H10" s="82"/>
      <c r="I10" s="82"/>
      <c r="J10" s="39"/>
    </row>
    <row r="11" spans="1:10" ht="15" hidden="1" customHeight="1" x14ac:dyDescent="0.25">
      <c r="A11" s="167" t="s">
        <v>91</v>
      </c>
      <c r="B11" s="167"/>
      <c r="C11" s="167"/>
      <c r="D11" s="167"/>
      <c r="E11" s="168"/>
      <c r="F11" s="169">
        <v>-11000</v>
      </c>
      <c r="G11" s="169"/>
      <c r="H11" s="82"/>
      <c r="I11" s="82"/>
      <c r="J11" s="39"/>
    </row>
    <row r="12" spans="1:10" ht="15" hidden="1" customHeight="1" x14ac:dyDescent="0.25">
      <c r="A12" s="167"/>
      <c r="B12" s="167"/>
      <c r="C12" s="167"/>
      <c r="D12" s="167"/>
      <c r="E12" s="168"/>
      <c r="F12" s="169"/>
      <c r="G12" s="169"/>
      <c r="H12" s="82"/>
      <c r="I12" s="82"/>
      <c r="J12" s="39"/>
    </row>
    <row r="13" spans="1:10" ht="15" hidden="1" customHeight="1" x14ac:dyDescent="0.25">
      <c r="A13" s="167" t="s">
        <v>74</v>
      </c>
      <c r="B13" s="167"/>
      <c r="C13" s="167"/>
      <c r="D13" s="167"/>
      <c r="E13" s="168"/>
      <c r="F13" s="169">
        <f>60000*1.15</f>
        <v>69000</v>
      </c>
      <c r="G13" s="169"/>
      <c r="H13" s="82"/>
      <c r="I13" s="82"/>
      <c r="J13" s="39"/>
    </row>
    <row r="14" spans="1:10" ht="15" hidden="1" customHeight="1" x14ac:dyDescent="0.25">
      <c r="A14" s="167" t="s">
        <v>60</v>
      </c>
      <c r="B14" s="167"/>
      <c r="C14" s="167"/>
      <c r="D14" s="167"/>
      <c r="E14" s="168"/>
      <c r="F14" s="169">
        <f>35000*1.38</f>
        <v>48299.999999999993</v>
      </c>
      <c r="G14" s="169"/>
      <c r="H14" s="82"/>
      <c r="I14" s="82"/>
      <c r="J14" s="39"/>
    </row>
    <row r="15" spans="1:10" ht="15" hidden="1" customHeight="1" x14ac:dyDescent="0.25">
      <c r="A15" s="167"/>
      <c r="B15" s="167"/>
      <c r="C15" s="167"/>
      <c r="D15" s="167"/>
      <c r="E15" s="168"/>
      <c r="F15" s="169"/>
      <c r="G15" s="169"/>
      <c r="H15" s="82"/>
      <c r="I15" s="82"/>
      <c r="J15" s="39"/>
    </row>
    <row r="16" spans="1:10" ht="15" hidden="1" customHeight="1" x14ac:dyDescent="0.25">
      <c r="A16" s="167" t="s">
        <v>149</v>
      </c>
      <c r="B16" s="167"/>
      <c r="C16" s="167"/>
      <c r="D16" s="167"/>
      <c r="E16" s="168"/>
      <c r="F16" s="169">
        <v>480000</v>
      </c>
      <c r="G16" s="169"/>
      <c r="H16" s="82"/>
      <c r="I16" s="82"/>
      <c r="J16" s="39"/>
    </row>
    <row r="17" spans="1:12" ht="15" customHeight="1" x14ac:dyDescent="0.25">
      <c r="A17" s="167"/>
      <c r="B17" s="167"/>
      <c r="C17" s="167"/>
      <c r="D17" s="167"/>
      <c r="E17" s="170" t="s">
        <v>61</v>
      </c>
      <c r="F17" s="171">
        <f>SUM(F10:F16)</f>
        <v>719300</v>
      </c>
      <c r="G17" s="171"/>
      <c r="H17" s="82"/>
      <c r="I17" s="82"/>
      <c r="J17" s="39"/>
    </row>
    <row r="18" spans="1:12" ht="15" customHeight="1" x14ac:dyDescent="0.25">
      <c r="A18" s="39"/>
      <c r="B18" s="39"/>
      <c r="C18" s="39"/>
      <c r="D18" s="39"/>
      <c r="E18" s="52"/>
      <c r="F18" s="44"/>
      <c r="G18" s="44"/>
      <c r="H18" s="82"/>
      <c r="I18" s="82"/>
      <c r="J18" s="39"/>
    </row>
    <row r="19" spans="1:12" ht="15" customHeight="1" x14ac:dyDescent="0.25">
      <c r="A19" s="172" t="s">
        <v>64</v>
      </c>
      <c r="B19" s="173"/>
      <c r="C19" s="173"/>
      <c r="D19" s="173"/>
      <c r="E19" s="174"/>
      <c r="F19" s="175"/>
      <c r="G19" s="175"/>
      <c r="I19" s="82"/>
      <c r="J19" s="39"/>
    </row>
    <row r="20" spans="1:12" ht="15" hidden="1" customHeight="1" x14ac:dyDescent="0.25">
      <c r="A20" s="173" t="s">
        <v>87</v>
      </c>
      <c r="B20" s="173"/>
      <c r="C20" s="173"/>
      <c r="D20" s="173"/>
      <c r="E20" s="174"/>
      <c r="F20" s="175">
        <v>-470000</v>
      </c>
      <c r="G20" s="175"/>
      <c r="H20" s="47" t="s">
        <v>123</v>
      </c>
      <c r="I20" s="82"/>
      <c r="J20" s="39"/>
    </row>
    <row r="21" spans="1:12" ht="15" customHeight="1" thickBot="1" x14ac:dyDescent="0.3">
      <c r="A21" s="172"/>
      <c r="B21" s="173"/>
      <c r="C21" s="173"/>
      <c r="D21" s="173"/>
      <c r="E21" s="176" t="s">
        <v>120</v>
      </c>
      <c r="F21" s="177">
        <f>SUM(F17:F20)</f>
        <v>249300</v>
      </c>
      <c r="G21" s="178"/>
      <c r="H21" s="47" t="s">
        <v>123</v>
      </c>
      <c r="I21" s="58"/>
      <c r="J21" s="39"/>
    </row>
    <row r="22" spans="1:12" ht="30" hidden="1" customHeight="1" thickTop="1" x14ac:dyDescent="0.25">
      <c r="A22" s="47"/>
      <c r="B22" s="39"/>
      <c r="C22" s="39"/>
      <c r="D22" s="39"/>
      <c r="E22" s="52"/>
      <c r="F22" s="44"/>
      <c r="G22" s="134"/>
      <c r="H22" s="213"/>
      <c r="I22" s="214"/>
      <c r="J22" s="39"/>
    </row>
    <row r="23" spans="1:12" ht="30" hidden="1" customHeight="1" x14ac:dyDescent="0.25">
      <c r="A23" s="47"/>
      <c r="B23" s="39"/>
      <c r="C23" s="39"/>
      <c r="D23" s="39"/>
      <c r="E23" s="52"/>
      <c r="F23" s="44"/>
      <c r="G23" s="134"/>
      <c r="H23" s="213"/>
      <c r="I23" s="214"/>
      <c r="J23" s="39"/>
    </row>
    <row r="24" spans="1:12" ht="30" hidden="1" customHeight="1" x14ac:dyDescent="0.25">
      <c r="A24" s="47"/>
      <c r="B24" s="39"/>
      <c r="C24" s="39"/>
      <c r="D24" s="39"/>
      <c r="E24" s="52"/>
      <c r="F24" s="44"/>
      <c r="G24" s="134"/>
      <c r="H24" s="193"/>
      <c r="I24" s="194"/>
      <c r="J24" s="39"/>
    </row>
    <row r="25" spans="1:12" ht="15" customHeight="1" thickTop="1" x14ac:dyDescent="0.25">
      <c r="A25" s="47"/>
      <c r="B25" s="39"/>
      <c r="C25" s="39"/>
      <c r="D25" s="39"/>
      <c r="E25" s="52"/>
      <c r="F25" s="44"/>
      <c r="G25" s="133">
        <v>519000</v>
      </c>
      <c r="H25" s="93" t="s">
        <v>92</v>
      </c>
      <c r="I25" s="82"/>
      <c r="J25" s="39"/>
    </row>
    <row r="26" spans="1:12" ht="15" customHeight="1" x14ac:dyDescent="0.25">
      <c r="A26" s="47"/>
      <c r="B26" s="39"/>
      <c r="C26" s="39"/>
      <c r="D26" s="39"/>
      <c r="E26" s="52"/>
      <c r="F26" s="44"/>
      <c r="G26" s="44"/>
      <c r="H26" s="93"/>
      <c r="I26" s="82"/>
      <c r="J26" s="39"/>
    </row>
    <row r="27" spans="1:12" ht="15" customHeight="1" thickBot="1" x14ac:dyDescent="0.3">
      <c r="A27" s="179" t="s">
        <v>65</v>
      </c>
      <c r="B27" s="180"/>
      <c r="C27" s="180"/>
      <c r="D27" s="180"/>
      <c r="E27" s="181"/>
      <c r="F27" s="182"/>
      <c r="G27" s="182"/>
      <c r="H27" s="47" t="s">
        <v>86</v>
      </c>
      <c r="I27" s="82"/>
      <c r="J27" s="39"/>
      <c r="K27" s="48" t="s">
        <v>84</v>
      </c>
      <c r="L27" s="49"/>
    </row>
    <row r="28" spans="1:12" ht="15" hidden="1" customHeight="1" x14ac:dyDescent="0.25">
      <c r="A28" s="47"/>
      <c r="B28" s="39"/>
      <c r="C28" s="39"/>
      <c r="D28" s="39"/>
      <c r="E28" s="43"/>
      <c r="F28" s="80"/>
      <c r="I28" s="82"/>
      <c r="J28" s="39"/>
      <c r="K28" s="50" t="s">
        <v>47</v>
      </c>
      <c r="L28" s="51">
        <v>55867</v>
      </c>
    </row>
    <row r="29" spans="1:12" ht="15" hidden="1" customHeight="1" x14ac:dyDescent="0.25">
      <c r="A29" s="55" t="s">
        <v>121</v>
      </c>
      <c r="B29" s="39"/>
      <c r="C29" s="39"/>
      <c r="D29" s="39"/>
      <c r="E29" s="43"/>
      <c r="F29" s="80"/>
      <c r="G29" s="80">
        <f>+G25</f>
        <v>519000</v>
      </c>
      <c r="H29" s="38" t="s">
        <v>92</v>
      </c>
      <c r="I29" s="82"/>
      <c r="J29" s="39"/>
      <c r="K29" s="50" t="s">
        <v>48</v>
      </c>
      <c r="L29" s="51">
        <v>111733</v>
      </c>
    </row>
    <row r="30" spans="1:12" ht="15" hidden="1" customHeight="1" x14ac:dyDescent="0.25">
      <c r="A30" s="38" t="s">
        <v>143</v>
      </c>
      <c r="D30" s="56">
        <v>0.15</v>
      </c>
      <c r="E30" s="45">
        <f>+MIN(F21,$L$28)*D30</f>
        <v>8380.0499999999993</v>
      </c>
      <c r="F30" s="128"/>
      <c r="G30" s="80">
        <f>-(L30+1)</f>
        <v>-173206</v>
      </c>
      <c r="H30" s="38" t="s">
        <v>150</v>
      </c>
      <c r="I30" s="82"/>
      <c r="J30" s="39"/>
      <c r="K30" s="50" t="s">
        <v>49</v>
      </c>
      <c r="L30" s="51">
        <v>173205</v>
      </c>
    </row>
    <row r="31" spans="1:12" ht="15" hidden="1" customHeight="1" x14ac:dyDescent="0.25">
      <c r="A31" s="38" t="s">
        <v>144</v>
      </c>
      <c r="D31" s="57">
        <v>0.20499999999999999</v>
      </c>
      <c r="E31" s="58">
        <f>MIN(($F$21-$L$28),($L$29-$L$28))*D31</f>
        <v>11452.529999999999</v>
      </c>
      <c r="F31" s="80"/>
      <c r="G31" s="133">
        <f>+G29+G30</f>
        <v>345794</v>
      </c>
      <c r="H31" s="82"/>
      <c r="I31" s="82"/>
      <c r="J31" s="39"/>
      <c r="K31" s="50" t="s">
        <v>50</v>
      </c>
      <c r="L31" s="51">
        <v>246752</v>
      </c>
    </row>
    <row r="32" spans="1:12" ht="15" hidden="1" customHeight="1" x14ac:dyDescent="0.25">
      <c r="A32" s="38" t="s">
        <v>145</v>
      </c>
      <c r="D32" s="56">
        <v>0.26</v>
      </c>
      <c r="E32" s="58">
        <f>MIN(($F$21-$L$29),($L$30-$L$29))*D32</f>
        <v>15982.720000000001</v>
      </c>
      <c r="F32" s="80"/>
      <c r="G32" s="80"/>
      <c r="I32" s="82"/>
      <c r="J32" s="39"/>
      <c r="K32" s="50" t="s">
        <v>51</v>
      </c>
      <c r="L32" s="51">
        <v>15705</v>
      </c>
    </row>
    <row r="33" spans="1:12" ht="15" hidden="1" customHeight="1" x14ac:dyDescent="0.25">
      <c r="A33" s="38" t="s">
        <v>146</v>
      </c>
      <c r="D33" s="56">
        <v>0.28999999999999998</v>
      </c>
      <c r="E33" s="58">
        <f>MIN(($F$21-$L$30),($L$31-$L$30))*D33</f>
        <v>21328.629999999997</v>
      </c>
      <c r="F33" s="80"/>
      <c r="G33" s="80"/>
      <c r="H33" s="82"/>
      <c r="I33" s="82"/>
      <c r="J33" s="39"/>
      <c r="K33" s="50" t="s">
        <v>52</v>
      </c>
      <c r="L33" s="51">
        <v>4348</v>
      </c>
    </row>
    <row r="34" spans="1:12" ht="15" hidden="1" customHeight="1" x14ac:dyDescent="0.25">
      <c r="A34" s="38" t="s">
        <v>147</v>
      </c>
      <c r="D34" s="56">
        <v>0.33</v>
      </c>
      <c r="E34" s="59">
        <f>MAX(($F$21-L31),0)*D34</f>
        <v>840.84</v>
      </c>
      <c r="F34" s="80"/>
      <c r="G34" s="80"/>
      <c r="H34" s="82"/>
      <c r="I34" s="82"/>
      <c r="J34" s="39"/>
      <c r="K34" s="50" t="s">
        <v>53</v>
      </c>
      <c r="L34" s="51">
        <v>464</v>
      </c>
    </row>
    <row r="35" spans="1:12" ht="15" hidden="1" customHeight="1" x14ac:dyDescent="0.25">
      <c r="A35" s="47"/>
      <c r="B35" s="39"/>
      <c r="C35" s="39"/>
      <c r="D35" s="39"/>
      <c r="E35" s="43">
        <f>SUM(E30:E34)</f>
        <v>57984.77</v>
      </c>
      <c r="F35" s="61">
        <f>+E35</f>
        <v>57984.77</v>
      </c>
      <c r="G35" s="61">
        <f>+G31*0.205</f>
        <v>70887.76999999999</v>
      </c>
      <c r="H35" s="82" t="s">
        <v>156</v>
      </c>
      <c r="I35" s="82"/>
      <c r="J35" s="39"/>
      <c r="K35" s="50" t="s">
        <v>54</v>
      </c>
      <c r="L35" s="51">
        <v>834</v>
      </c>
    </row>
    <row r="36" spans="1:12" ht="15" hidden="1" customHeight="1" x14ac:dyDescent="0.25">
      <c r="A36" s="47"/>
      <c r="B36" s="39"/>
      <c r="C36" s="39"/>
      <c r="D36" s="39"/>
      <c r="E36" s="43"/>
      <c r="F36" s="60"/>
      <c r="G36" s="60"/>
      <c r="H36" s="162"/>
      <c r="I36" s="82"/>
      <c r="J36" s="39"/>
      <c r="K36" s="50" t="s">
        <v>55</v>
      </c>
      <c r="L36" s="51">
        <v>1433</v>
      </c>
    </row>
    <row r="37" spans="1:12" ht="15" hidden="1" customHeight="1" thickBot="1" x14ac:dyDescent="0.3">
      <c r="A37" s="55" t="s">
        <v>67</v>
      </c>
      <c r="B37" s="63"/>
      <c r="C37" s="39"/>
      <c r="D37" s="39"/>
      <c r="E37" s="43"/>
      <c r="F37" s="60"/>
      <c r="G37" s="60"/>
      <c r="H37" s="128"/>
      <c r="I37" s="82"/>
      <c r="J37" s="39"/>
      <c r="K37" s="50" t="s">
        <v>56</v>
      </c>
      <c r="L37" s="51">
        <v>2759</v>
      </c>
    </row>
    <row r="38" spans="1:12" ht="15" hidden="1" customHeight="1" x14ac:dyDescent="0.25">
      <c r="A38" s="75" t="s">
        <v>68</v>
      </c>
      <c r="B38" s="63"/>
      <c r="C38" s="39"/>
      <c r="D38" s="39"/>
      <c r="E38" s="43"/>
      <c r="F38" s="125">
        <f>-$L$32*0.15</f>
        <v>-2355.75</v>
      </c>
      <c r="G38" s="125">
        <f>+F38/2</f>
        <v>-1177.875</v>
      </c>
      <c r="H38" s="195" t="s">
        <v>152</v>
      </c>
      <c r="I38" s="196"/>
      <c r="J38" s="39"/>
      <c r="K38" s="50" t="s">
        <v>57</v>
      </c>
      <c r="L38" s="51">
        <v>8790</v>
      </c>
    </row>
    <row r="39" spans="1:12" ht="15" hidden="1" customHeight="1" x14ac:dyDescent="0.25">
      <c r="A39" s="67" t="s">
        <v>118</v>
      </c>
      <c r="B39" s="63"/>
      <c r="C39" s="39"/>
      <c r="D39" s="39"/>
      <c r="E39" s="43"/>
      <c r="F39" s="126"/>
      <c r="G39" s="126"/>
      <c r="H39" s="197"/>
      <c r="I39" s="198"/>
      <c r="J39" s="39"/>
      <c r="K39" s="50"/>
      <c r="L39" s="51"/>
    </row>
    <row r="40" spans="1:12" ht="15" hidden="1" customHeight="1" x14ac:dyDescent="0.25">
      <c r="A40" s="76" t="s">
        <v>93</v>
      </c>
      <c r="B40" s="71"/>
      <c r="C40" s="71"/>
      <c r="D40" s="71"/>
      <c r="E40" s="71"/>
      <c r="F40" s="126"/>
      <c r="G40" s="126"/>
      <c r="H40" s="197"/>
      <c r="I40" s="198"/>
      <c r="J40" s="39"/>
      <c r="K40" s="50" t="s">
        <v>58</v>
      </c>
      <c r="L40" s="51">
        <v>44325</v>
      </c>
    </row>
    <row r="41" spans="1:12" ht="15" hidden="1" customHeight="1" x14ac:dyDescent="0.25">
      <c r="A41" s="72" t="s">
        <v>151</v>
      </c>
      <c r="B41" s="71"/>
      <c r="C41" s="71"/>
      <c r="D41" s="71"/>
      <c r="E41" s="71"/>
      <c r="F41" s="126">
        <f>+F38</f>
        <v>-2355.75</v>
      </c>
      <c r="G41" s="126">
        <f>+F41/2</f>
        <v>-1177.875</v>
      </c>
      <c r="H41" s="197"/>
      <c r="I41" s="198"/>
      <c r="J41" s="39"/>
      <c r="K41" s="50" t="s">
        <v>59</v>
      </c>
      <c r="L41" s="51">
        <v>8375</v>
      </c>
    </row>
    <row r="42" spans="1:12" ht="15" hidden="1" customHeight="1" x14ac:dyDescent="0.25">
      <c r="A42" s="72" t="s">
        <v>94</v>
      </c>
      <c r="B42" s="71"/>
      <c r="C42" s="71"/>
      <c r="D42" s="71"/>
      <c r="E42" s="71"/>
      <c r="F42" s="126"/>
      <c r="G42" s="126"/>
      <c r="H42" s="197"/>
      <c r="I42" s="198"/>
      <c r="J42" s="39"/>
      <c r="K42" s="50" t="s">
        <v>62</v>
      </c>
      <c r="L42" s="51">
        <v>9872</v>
      </c>
    </row>
    <row r="43" spans="1:12" ht="15" hidden="1" customHeight="1" x14ac:dyDescent="0.25">
      <c r="A43" s="77" t="s">
        <v>69</v>
      </c>
      <c r="B43" s="63"/>
      <c r="C43" s="39"/>
      <c r="D43" s="39"/>
      <c r="E43" s="43"/>
      <c r="F43" s="126">
        <f>-600*0.15</f>
        <v>-90</v>
      </c>
      <c r="G43" s="126">
        <f>+F43/2</f>
        <v>-45</v>
      </c>
      <c r="H43" s="197"/>
      <c r="I43" s="198"/>
      <c r="J43" s="39"/>
    </row>
    <row r="44" spans="1:12" ht="15" hidden="1" customHeight="1" x14ac:dyDescent="0.25">
      <c r="A44" s="65" t="s">
        <v>112</v>
      </c>
      <c r="B44" s="124"/>
      <c r="C44" s="39"/>
      <c r="D44" s="39"/>
      <c r="E44" s="43"/>
      <c r="F44" s="126"/>
      <c r="G44" s="126"/>
      <c r="H44" s="197"/>
      <c r="I44" s="198"/>
      <c r="J44" s="39"/>
    </row>
    <row r="45" spans="1:12" ht="15" hidden="1" customHeight="1" x14ac:dyDescent="0.25">
      <c r="A45" s="73" t="s">
        <v>113</v>
      </c>
      <c r="B45" s="63"/>
      <c r="C45" s="39"/>
      <c r="D45" s="39"/>
      <c r="E45" s="43"/>
      <c r="F45" s="126"/>
      <c r="G45" s="126"/>
      <c r="H45" s="197"/>
      <c r="I45" s="198"/>
      <c r="J45" s="39"/>
    </row>
    <row r="46" spans="1:12" ht="15" hidden="1" customHeight="1" x14ac:dyDescent="0.25">
      <c r="A46" s="73" t="s">
        <v>114</v>
      </c>
      <c r="B46" s="63"/>
      <c r="C46" s="39"/>
      <c r="D46" s="39"/>
      <c r="E46" s="43"/>
      <c r="F46" s="126"/>
      <c r="G46" s="126"/>
      <c r="H46" s="197"/>
      <c r="I46" s="198"/>
      <c r="J46" s="39"/>
    </row>
    <row r="47" spans="1:12" ht="15" hidden="1" customHeight="1" x14ac:dyDescent="0.25">
      <c r="A47" s="77" t="s">
        <v>95</v>
      </c>
      <c r="B47" s="63"/>
      <c r="C47" s="39"/>
      <c r="D47" s="39"/>
      <c r="E47" s="43"/>
      <c r="F47" s="126">
        <f>-165*0.15</f>
        <v>-24.75</v>
      </c>
      <c r="G47" s="126">
        <f>+F47/2</f>
        <v>-12.375</v>
      </c>
      <c r="H47" s="197"/>
      <c r="I47" s="198"/>
      <c r="J47" s="39"/>
    </row>
    <row r="48" spans="1:12" ht="15" hidden="1" customHeight="1" x14ac:dyDescent="0.25">
      <c r="A48" s="65" t="s">
        <v>99</v>
      </c>
      <c r="B48" s="63"/>
      <c r="C48" s="39"/>
      <c r="D48" s="39"/>
      <c r="E48" s="43"/>
      <c r="F48" s="126"/>
      <c r="G48" s="126"/>
      <c r="H48" s="197"/>
      <c r="I48" s="198"/>
      <c r="J48" s="39"/>
    </row>
    <row r="49" spans="1:10" ht="15" hidden="1" customHeight="1" x14ac:dyDescent="0.25">
      <c r="A49" s="77" t="s">
        <v>70</v>
      </c>
      <c r="B49" s="39"/>
      <c r="C49" s="39"/>
      <c r="D49" s="39"/>
      <c r="E49" s="43"/>
      <c r="F49" s="126">
        <f>-((1450+1900-540)-MIN($F$17*0.03,$L$37))*0.15</f>
        <v>-7.6499999999999995</v>
      </c>
      <c r="G49" s="126">
        <f>+F49/2</f>
        <v>-3.8249999999999997</v>
      </c>
      <c r="H49" s="197"/>
      <c r="I49" s="198"/>
      <c r="J49" s="39"/>
    </row>
    <row r="50" spans="1:10" ht="15" hidden="1" customHeight="1" x14ac:dyDescent="0.25">
      <c r="A50" s="65" t="s">
        <v>157</v>
      </c>
      <c r="B50" s="39"/>
      <c r="C50" s="39"/>
      <c r="D50" s="39"/>
      <c r="E50" s="43"/>
      <c r="F50" s="126"/>
      <c r="G50" s="126"/>
      <c r="H50" s="197"/>
      <c r="I50" s="198"/>
      <c r="J50" s="39"/>
    </row>
    <row r="51" spans="1:10" ht="15" hidden="1" customHeight="1" x14ac:dyDescent="0.25">
      <c r="A51" s="67" t="s">
        <v>141</v>
      </c>
      <c r="B51" s="68"/>
      <c r="C51" s="68"/>
      <c r="D51" s="68"/>
      <c r="E51" s="69"/>
      <c r="F51" s="126"/>
      <c r="G51" s="126"/>
      <c r="H51" s="197"/>
      <c r="I51" s="198"/>
      <c r="J51" s="39"/>
    </row>
    <row r="52" spans="1:10" ht="15" hidden="1" customHeight="1" x14ac:dyDescent="0.25">
      <c r="A52" s="67" t="s">
        <v>142</v>
      </c>
      <c r="B52" s="68"/>
      <c r="C52" s="68"/>
      <c r="D52" s="68"/>
      <c r="E52" s="69"/>
      <c r="F52" s="126"/>
      <c r="G52" s="126"/>
      <c r="H52" s="197"/>
      <c r="I52" s="198"/>
      <c r="J52" s="39"/>
    </row>
    <row r="53" spans="1:10" ht="15" hidden="1" customHeight="1" x14ac:dyDescent="0.25">
      <c r="A53" s="67" t="s">
        <v>140</v>
      </c>
      <c r="B53" s="68"/>
      <c r="C53" s="68"/>
      <c r="D53" s="68"/>
      <c r="E53" s="69"/>
      <c r="F53" s="126"/>
      <c r="G53" s="126"/>
      <c r="H53" s="197"/>
      <c r="I53" s="198"/>
      <c r="J53" s="39"/>
    </row>
    <row r="54" spans="1:10" ht="15" hidden="1" customHeight="1" x14ac:dyDescent="0.25">
      <c r="A54" s="78" t="s">
        <v>96</v>
      </c>
      <c r="B54" s="68"/>
      <c r="C54" s="68"/>
      <c r="D54" s="68"/>
      <c r="E54" s="69"/>
      <c r="F54" s="126">
        <f>+G107</f>
        <v>-1813.92</v>
      </c>
      <c r="G54" s="126">
        <f>+F54*0.8</f>
        <v>-1451.1360000000002</v>
      </c>
      <c r="H54" s="197"/>
      <c r="I54" s="198"/>
      <c r="J54" s="39"/>
    </row>
    <row r="55" spans="1:10" ht="15" hidden="1" customHeight="1" x14ac:dyDescent="0.25">
      <c r="A55" s="67" t="s">
        <v>119</v>
      </c>
      <c r="B55" s="68"/>
      <c r="C55" s="68"/>
      <c r="D55" s="68"/>
      <c r="E55" s="69"/>
      <c r="F55" s="126"/>
      <c r="G55" s="126"/>
      <c r="H55" s="197"/>
      <c r="I55" s="198"/>
      <c r="J55" s="39"/>
    </row>
    <row r="56" spans="1:10" ht="15" hidden="1" customHeight="1" x14ac:dyDescent="0.25">
      <c r="A56" s="78" t="s">
        <v>71</v>
      </c>
      <c r="B56" s="68"/>
      <c r="C56" s="68"/>
      <c r="D56" s="68"/>
      <c r="E56" s="69"/>
      <c r="F56" s="126"/>
      <c r="G56" s="126"/>
      <c r="H56" s="197"/>
      <c r="I56" s="198"/>
      <c r="J56" s="39"/>
    </row>
    <row r="57" spans="1:10" ht="15" hidden="1" customHeight="1" x14ac:dyDescent="0.25">
      <c r="A57" s="70" t="s">
        <v>100</v>
      </c>
      <c r="B57" s="67"/>
      <c r="C57" s="67"/>
      <c r="D57" s="67"/>
      <c r="E57" s="69"/>
      <c r="F57" s="135">
        <f>-F13*0.09</f>
        <v>-6210</v>
      </c>
      <c r="G57" s="163" t="s">
        <v>153</v>
      </c>
      <c r="H57" s="197"/>
      <c r="I57" s="198"/>
      <c r="J57" s="39"/>
    </row>
    <row r="58" spans="1:10" ht="15" hidden="1" customHeight="1" x14ac:dyDescent="0.25">
      <c r="A58" s="67" t="s">
        <v>109</v>
      </c>
      <c r="B58" s="67"/>
      <c r="C58" s="67"/>
      <c r="D58" s="67"/>
      <c r="E58" s="69"/>
      <c r="F58" s="135">
        <f>-F14*0.15</f>
        <v>-7244.9999999999991</v>
      </c>
      <c r="G58" s="163" t="s">
        <v>153</v>
      </c>
      <c r="H58" s="197"/>
      <c r="I58" s="198"/>
      <c r="J58" s="39"/>
    </row>
    <row r="59" spans="1:10" ht="15" hidden="1" customHeight="1" x14ac:dyDescent="0.25">
      <c r="A59" s="79" t="s">
        <v>72</v>
      </c>
      <c r="B59" s="64"/>
      <c r="C59" s="39"/>
      <c r="D59" s="39"/>
      <c r="E59" s="43"/>
      <c r="F59" s="126"/>
      <c r="G59" s="126"/>
      <c r="H59" s="197"/>
      <c r="I59" s="198"/>
      <c r="J59" s="39"/>
    </row>
    <row r="60" spans="1:10" ht="15" hidden="1" customHeight="1" x14ac:dyDescent="0.25">
      <c r="A60" s="64"/>
      <c r="B60" s="64"/>
      <c r="C60" s="39"/>
      <c r="D60" s="39"/>
      <c r="E60" s="43" t="s">
        <v>75</v>
      </c>
      <c r="F60" s="126">
        <f>-L33*0.15</f>
        <v>-652.19999999999993</v>
      </c>
      <c r="G60" s="126">
        <f>+F60/2</f>
        <v>-326.09999999999997</v>
      </c>
      <c r="H60" s="197"/>
      <c r="I60" s="198"/>
      <c r="J60" s="39"/>
    </row>
    <row r="61" spans="1:10" ht="15" hidden="1" customHeight="1" x14ac:dyDescent="0.25">
      <c r="A61" s="64"/>
      <c r="B61" s="64"/>
      <c r="C61" s="39"/>
      <c r="D61" s="39"/>
      <c r="E61" s="43" t="s">
        <v>76</v>
      </c>
      <c r="F61" s="126">
        <f>-L34*0.15</f>
        <v>-69.599999999999994</v>
      </c>
      <c r="G61" s="126">
        <f>+F61/2</f>
        <v>-34.799999999999997</v>
      </c>
      <c r="H61" s="197"/>
      <c r="I61" s="198"/>
      <c r="J61" s="39"/>
    </row>
    <row r="62" spans="1:10" ht="15" hidden="1" customHeight="1" x14ac:dyDescent="0.25">
      <c r="A62" s="64"/>
      <c r="B62" s="64"/>
      <c r="C62" s="39"/>
      <c r="D62" s="39"/>
      <c r="E62" s="43" t="s">
        <v>77</v>
      </c>
      <c r="F62" s="126">
        <f>-L35*0.15</f>
        <v>-125.1</v>
      </c>
      <c r="G62" s="126">
        <f>+F62/2</f>
        <v>-62.55</v>
      </c>
      <c r="H62" s="197"/>
      <c r="I62" s="198"/>
      <c r="J62" s="39"/>
    </row>
    <row r="63" spans="1:10" ht="15" hidden="1" customHeight="1" thickBot="1" x14ac:dyDescent="0.3">
      <c r="A63" s="42" t="s">
        <v>73</v>
      </c>
      <c r="B63" s="39"/>
      <c r="C63" s="39"/>
      <c r="D63" s="39"/>
      <c r="E63" s="43"/>
      <c r="F63" s="127">
        <f>-L36*0.15</f>
        <v>-214.95</v>
      </c>
      <c r="G63" s="127">
        <f>+F63/2</f>
        <v>-107.47499999999999</v>
      </c>
      <c r="H63" s="199"/>
      <c r="I63" s="200"/>
      <c r="J63" s="39"/>
    </row>
    <row r="64" spans="1:10" ht="15" customHeight="1" thickBot="1" x14ac:dyDescent="0.3">
      <c r="A64" s="39"/>
      <c r="B64" s="39"/>
      <c r="C64" s="39"/>
      <c r="D64" s="39"/>
      <c r="E64" s="52" t="s">
        <v>83</v>
      </c>
      <c r="F64" s="130">
        <f>+SUM(F35:F63)</f>
        <v>36820.100000000006</v>
      </c>
      <c r="G64" s="130">
        <f>+SUM(G35:G63)</f>
        <v>66488.758999999976</v>
      </c>
      <c r="H64" s="129" t="s">
        <v>124</v>
      </c>
      <c r="I64" s="82"/>
      <c r="J64" s="39"/>
    </row>
    <row r="65" spans="1:10" ht="15" customHeight="1" thickBot="1" x14ac:dyDescent="0.3">
      <c r="A65" s="74"/>
      <c r="B65" s="74"/>
      <c r="C65" s="74"/>
      <c r="D65" s="74"/>
      <c r="E65" s="131" t="s">
        <v>122</v>
      </c>
      <c r="F65" s="60"/>
      <c r="G65" s="130">
        <f>+G64</f>
        <v>66488.758999999976</v>
      </c>
      <c r="H65" s="82"/>
      <c r="I65" s="82"/>
      <c r="J65" s="39"/>
    </row>
    <row r="66" spans="1:10" ht="15" customHeight="1" x14ac:dyDescent="0.25">
      <c r="A66" s="39"/>
      <c r="B66" s="39"/>
      <c r="C66" s="39"/>
      <c r="D66" s="39"/>
      <c r="E66" s="43"/>
      <c r="F66" s="60"/>
      <c r="G66" s="60"/>
      <c r="H66" s="82"/>
      <c r="I66" s="82"/>
      <c r="J66" s="39"/>
    </row>
    <row r="67" spans="1:10" ht="15" customHeight="1" x14ac:dyDescent="0.25">
      <c r="A67" s="41" t="s">
        <v>78</v>
      </c>
      <c r="B67" s="39"/>
      <c r="C67" s="39"/>
      <c r="D67" s="39"/>
      <c r="E67" s="43"/>
      <c r="F67" s="60"/>
      <c r="G67" s="60"/>
      <c r="H67" s="82"/>
      <c r="I67" s="82"/>
      <c r="J67" s="39"/>
    </row>
    <row r="68" spans="1:10" ht="15" customHeight="1" x14ac:dyDescent="0.25">
      <c r="A68" s="40" t="s">
        <v>136</v>
      </c>
      <c r="B68" s="39"/>
      <c r="C68" s="39"/>
      <c r="D68" s="39"/>
      <c r="E68" s="43"/>
      <c r="F68" s="60"/>
      <c r="G68" s="60">
        <f>-G65*0.165</f>
        <v>-10970.645234999996</v>
      </c>
      <c r="H68" s="82"/>
      <c r="I68" s="82"/>
      <c r="J68" s="39"/>
    </row>
    <row r="69" spans="1:10" ht="15" customHeight="1" x14ac:dyDescent="0.25">
      <c r="A69" s="47"/>
      <c r="B69" s="39"/>
      <c r="C69" s="39"/>
      <c r="D69" s="39"/>
      <c r="E69" s="52"/>
      <c r="F69" s="60"/>
      <c r="G69" s="60"/>
      <c r="H69" s="82"/>
      <c r="I69" s="82"/>
      <c r="J69" s="39"/>
    </row>
    <row r="70" spans="1:10" ht="15" customHeight="1" thickBot="1" x14ac:dyDescent="0.3">
      <c r="A70" s="41" t="s">
        <v>79</v>
      </c>
      <c r="B70" s="39"/>
      <c r="C70" s="39"/>
      <c r="D70" s="39"/>
      <c r="E70" s="43"/>
      <c r="F70" s="60"/>
      <c r="G70" s="60"/>
      <c r="H70" s="82"/>
      <c r="I70" s="82"/>
      <c r="J70" s="39"/>
    </row>
    <row r="71" spans="1:10" ht="15" customHeight="1" x14ac:dyDescent="0.25">
      <c r="A71" s="42" t="s">
        <v>98</v>
      </c>
      <c r="B71" s="39"/>
      <c r="C71" s="39"/>
      <c r="D71" s="39"/>
      <c r="E71" s="43"/>
      <c r="F71" s="60"/>
      <c r="G71" s="132">
        <f>-1200*0.5</f>
        <v>-600</v>
      </c>
      <c r="H71" s="82"/>
      <c r="I71" s="82"/>
      <c r="J71" s="39"/>
    </row>
    <row r="72" spans="1:10" ht="15" customHeight="1" x14ac:dyDescent="0.25">
      <c r="A72" s="40" t="s">
        <v>110</v>
      </c>
      <c r="B72" s="39"/>
      <c r="C72" s="39"/>
      <c r="D72" s="39"/>
      <c r="E72" s="43"/>
      <c r="F72" s="60"/>
      <c r="G72" s="126"/>
      <c r="H72" s="82"/>
      <c r="I72" s="82"/>
      <c r="J72" s="39"/>
    </row>
    <row r="73" spans="1:10" ht="15" customHeight="1" x14ac:dyDescent="0.25">
      <c r="A73" s="28" t="s">
        <v>111</v>
      </c>
      <c r="B73" s="39"/>
      <c r="C73" s="39"/>
      <c r="D73" s="39"/>
      <c r="E73" s="43"/>
      <c r="F73" s="60"/>
      <c r="G73" s="126"/>
      <c r="H73" s="82"/>
      <c r="I73" s="82"/>
      <c r="J73" s="39"/>
    </row>
    <row r="74" spans="1:10" ht="15" customHeight="1" x14ac:dyDescent="0.25">
      <c r="A74" s="42" t="s">
        <v>97</v>
      </c>
      <c r="B74" s="39"/>
      <c r="C74" s="39"/>
      <c r="D74" s="39"/>
      <c r="E74" s="43"/>
      <c r="F74" s="60"/>
      <c r="G74" s="163" t="s">
        <v>153</v>
      </c>
      <c r="H74" s="82"/>
      <c r="I74" s="82"/>
      <c r="J74" s="39"/>
    </row>
    <row r="75" spans="1:10" ht="15" customHeight="1" x14ac:dyDescent="0.25">
      <c r="A75" s="67" t="s">
        <v>130</v>
      </c>
      <c r="B75" s="39"/>
      <c r="C75" s="39"/>
      <c r="D75" s="39"/>
      <c r="E75" s="43"/>
      <c r="F75" s="60"/>
      <c r="G75" s="60"/>
      <c r="H75" s="82"/>
      <c r="I75" s="82"/>
      <c r="J75" s="39"/>
    </row>
    <row r="76" spans="1:10" ht="15" customHeight="1" x14ac:dyDescent="0.25">
      <c r="A76" s="41"/>
      <c r="B76" s="39"/>
      <c r="C76" s="39"/>
      <c r="D76" s="39"/>
      <c r="E76" s="52" t="s">
        <v>82</v>
      </c>
      <c r="F76" s="61"/>
      <c r="G76" s="61">
        <f>SUM(G65:G75)</f>
        <v>54918.11376499998</v>
      </c>
      <c r="H76" s="129" t="str">
        <f>+E76</f>
        <v>Impôt payable</v>
      </c>
      <c r="I76" s="82"/>
      <c r="J76" s="39"/>
    </row>
    <row r="77" spans="1:10" ht="15" customHeight="1" x14ac:dyDescent="0.25">
      <c r="A77" s="41"/>
      <c r="B77" s="39"/>
      <c r="C77" s="39"/>
      <c r="D77" s="39"/>
      <c r="E77" s="52"/>
      <c r="F77" s="60"/>
      <c r="G77" s="60"/>
      <c r="H77" s="82"/>
      <c r="I77" s="82"/>
      <c r="J77" s="39"/>
    </row>
    <row r="78" spans="1:10" ht="15" customHeight="1" x14ac:dyDescent="0.25">
      <c r="A78" s="41" t="s">
        <v>80</v>
      </c>
      <c r="B78" s="39"/>
      <c r="C78" s="39"/>
      <c r="D78" s="39"/>
      <c r="E78" s="43"/>
      <c r="F78" s="60"/>
      <c r="G78" s="60"/>
      <c r="H78" s="82"/>
      <c r="I78" s="82"/>
      <c r="J78" s="39"/>
    </row>
    <row r="79" spans="1:10" ht="15" customHeight="1" x14ac:dyDescent="0.25">
      <c r="A79" s="1" t="s">
        <v>81</v>
      </c>
      <c r="B79" s="39"/>
      <c r="C79" s="39"/>
      <c r="D79" s="39"/>
      <c r="E79" s="43"/>
      <c r="F79" s="60"/>
      <c r="G79" s="60">
        <v>-26000</v>
      </c>
      <c r="H79" s="82"/>
      <c r="I79" s="82"/>
      <c r="J79" s="39"/>
    </row>
    <row r="80" spans="1:10" ht="15" customHeight="1" x14ac:dyDescent="0.25">
      <c r="A80" s="41"/>
      <c r="B80" s="39"/>
      <c r="C80" s="39"/>
      <c r="D80" s="39"/>
      <c r="E80" s="43"/>
      <c r="F80" s="66"/>
      <c r="G80" s="66"/>
      <c r="H80" s="82"/>
      <c r="I80" s="82"/>
      <c r="J80" s="39"/>
    </row>
    <row r="81" spans="1:10" ht="15" customHeight="1" thickBot="1" x14ac:dyDescent="0.3">
      <c r="A81" s="183"/>
      <c r="B81" s="184"/>
      <c r="C81" s="184"/>
      <c r="D81" s="183"/>
      <c r="E81" s="185" t="s">
        <v>66</v>
      </c>
      <c r="F81" s="186"/>
      <c r="G81" s="186">
        <f>SUM(G76:G80)</f>
        <v>28918.11376499998</v>
      </c>
      <c r="H81" s="129" t="str">
        <f>+E81</f>
        <v>SOLDE DÛ (ou remboursement)</v>
      </c>
      <c r="I81" s="83"/>
      <c r="J81" s="39"/>
    </row>
    <row r="82" spans="1:10" ht="15" customHeight="1" thickTop="1" x14ac:dyDescent="0.25">
      <c r="H82" s="58"/>
      <c r="I82" s="84"/>
    </row>
    <row r="83" spans="1:10" ht="15" customHeight="1" x14ac:dyDescent="0.25">
      <c r="A83" s="137"/>
      <c r="B83" s="138"/>
      <c r="C83" s="139"/>
      <c r="D83" s="139"/>
      <c r="E83" s="140" t="s">
        <v>137</v>
      </c>
      <c r="F83" s="138"/>
      <c r="G83" s="141"/>
      <c r="H83" s="58"/>
      <c r="I83" s="84"/>
    </row>
    <row r="84" spans="1:10" ht="15" customHeight="1" x14ac:dyDescent="0.25">
      <c r="A84" s="142"/>
      <c r="B84" s="143"/>
      <c r="C84" s="143"/>
      <c r="D84" s="143"/>
      <c r="E84" s="144" t="s">
        <v>172</v>
      </c>
      <c r="F84" s="145"/>
      <c r="G84" s="160">
        <f>+G64-F64</f>
        <v>29668.658999999971</v>
      </c>
      <c r="H84" s="58"/>
      <c r="I84" s="84"/>
    </row>
    <row r="85" spans="1:10" ht="15" customHeight="1" x14ac:dyDescent="0.25">
      <c r="H85" s="58"/>
      <c r="I85" s="84"/>
    </row>
    <row r="86" spans="1:10" ht="15" hidden="1" customHeight="1" x14ac:dyDescent="0.25">
      <c r="A86" s="1" t="s">
        <v>164</v>
      </c>
      <c r="H86" s="58"/>
      <c r="I86" s="84"/>
    </row>
    <row r="87" spans="1:10" ht="15" hidden="1" customHeight="1" x14ac:dyDescent="0.25">
      <c r="A87" s="216" t="s">
        <v>168</v>
      </c>
      <c r="B87" s="216"/>
      <c r="C87" s="216"/>
      <c r="D87" s="216"/>
      <c r="E87" s="216"/>
      <c r="F87" s="216"/>
      <c r="G87" s="216"/>
      <c r="H87" s="216"/>
      <c r="I87" s="216"/>
    </row>
    <row r="88" spans="1:10" ht="15" hidden="1" customHeight="1" x14ac:dyDescent="0.25">
      <c r="A88" s="216"/>
      <c r="B88" s="216"/>
      <c r="C88" s="216"/>
      <c r="D88" s="216"/>
      <c r="E88" s="216"/>
      <c r="F88" s="216"/>
      <c r="G88" s="216"/>
      <c r="H88" s="216"/>
      <c r="I88" s="216"/>
    </row>
    <row r="89" spans="1:10" ht="15" hidden="1" customHeight="1" x14ac:dyDescent="0.25">
      <c r="A89" s="216"/>
      <c r="B89" s="216"/>
      <c r="C89" s="216"/>
      <c r="D89" s="216"/>
      <c r="E89" s="216"/>
      <c r="F89" s="216"/>
      <c r="G89" s="216"/>
      <c r="H89" s="216"/>
      <c r="I89" s="216"/>
    </row>
    <row r="90" spans="1:10" ht="15" hidden="1" customHeight="1" x14ac:dyDescent="0.25">
      <c r="A90" s="216"/>
      <c r="B90" s="216"/>
      <c r="C90" s="216"/>
      <c r="D90" s="216"/>
      <c r="E90" s="216"/>
      <c r="F90" s="216"/>
      <c r="G90" s="216"/>
      <c r="H90" s="216"/>
      <c r="I90" s="216"/>
    </row>
    <row r="91" spans="1:10" ht="15" hidden="1" customHeight="1" x14ac:dyDescent="0.25">
      <c r="A91" s="216"/>
      <c r="B91" s="216"/>
      <c r="C91" s="216"/>
      <c r="D91" s="216"/>
      <c r="E91" s="216"/>
      <c r="F91" s="216"/>
      <c r="G91" s="216"/>
      <c r="H91" s="216"/>
      <c r="I91" s="216"/>
    </row>
    <row r="92" spans="1:10" ht="15" hidden="1" customHeight="1" x14ac:dyDescent="0.25">
      <c r="A92" s="216"/>
      <c r="B92" s="216"/>
      <c r="C92" s="216"/>
      <c r="D92" s="216"/>
      <c r="E92" s="216"/>
      <c r="F92" s="216"/>
      <c r="G92" s="216"/>
      <c r="H92" s="216"/>
      <c r="I92" s="216"/>
    </row>
    <row r="93" spans="1:10" ht="15" hidden="1" customHeight="1" x14ac:dyDescent="0.25">
      <c r="A93" s="216"/>
      <c r="B93" s="216"/>
      <c r="C93" s="216"/>
      <c r="D93" s="216"/>
      <c r="E93" s="216"/>
      <c r="F93" s="216"/>
      <c r="G93" s="216"/>
      <c r="H93" s="216"/>
      <c r="I93" s="216"/>
    </row>
    <row r="94" spans="1:10" ht="15" hidden="1" customHeight="1" x14ac:dyDescent="0.25">
      <c r="A94" s="216"/>
      <c r="B94" s="216"/>
      <c r="C94" s="216"/>
      <c r="D94" s="216"/>
      <c r="E94" s="216"/>
      <c r="F94" s="216"/>
      <c r="G94" s="216"/>
      <c r="H94" s="216"/>
      <c r="I94" s="216"/>
    </row>
    <row r="95" spans="1:10" ht="15" hidden="1" customHeight="1" x14ac:dyDescent="0.25">
      <c r="H95" s="58"/>
      <c r="I95" s="84"/>
    </row>
    <row r="96" spans="1:10" ht="15" hidden="1" customHeight="1" x14ac:dyDescent="0.25">
      <c r="A96" s="1" t="s">
        <v>167</v>
      </c>
      <c r="H96" s="58"/>
      <c r="I96" s="84"/>
    </row>
    <row r="97" spans="1:9" ht="15" hidden="1" customHeight="1" x14ac:dyDescent="0.25">
      <c r="A97" s="102"/>
      <c r="B97" s="120"/>
      <c r="C97" s="120"/>
      <c r="D97" s="103" t="s">
        <v>101</v>
      </c>
      <c r="E97" s="104">
        <v>6000</v>
      </c>
      <c r="F97" s="105"/>
      <c r="G97" s="106"/>
      <c r="H97" s="58"/>
      <c r="I97" s="84"/>
    </row>
    <row r="98" spans="1:9" ht="15" hidden="1" customHeight="1" x14ac:dyDescent="0.25">
      <c r="A98" s="107"/>
      <c r="B98" s="121"/>
      <c r="C98" s="65"/>
      <c r="D98" s="56"/>
      <c r="E98" s="108"/>
      <c r="F98" s="119" t="s">
        <v>107</v>
      </c>
      <c r="G98" s="108"/>
      <c r="H98" s="58"/>
      <c r="I98" s="84"/>
    </row>
    <row r="99" spans="1:9" ht="15" hidden="1" customHeight="1" x14ac:dyDescent="0.25">
      <c r="A99" s="109" t="s">
        <v>102</v>
      </c>
      <c r="B99" s="45"/>
      <c r="C99" s="21"/>
      <c r="D99" s="21"/>
      <c r="E99" s="110">
        <v>200</v>
      </c>
      <c r="F99" s="56">
        <v>0.15</v>
      </c>
      <c r="G99" s="108">
        <f>-E99*F99</f>
        <v>-30</v>
      </c>
    </row>
    <row r="100" spans="1:9" ht="15" hidden="1" customHeight="1" x14ac:dyDescent="0.25">
      <c r="A100" s="107"/>
      <c r="B100" s="121"/>
      <c r="C100" s="21"/>
      <c r="D100" s="21"/>
      <c r="E100" s="111"/>
      <c r="F100" s="56"/>
      <c r="G100" s="108"/>
    </row>
    <row r="101" spans="1:9" ht="15" hidden="1" customHeight="1" x14ac:dyDescent="0.25">
      <c r="A101" s="109" t="s">
        <v>103</v>
      </c>
      <c r="B101" s="45"/>
      <c r="C101" s="21"/>
      <c r="D101" s="21"/>
      <c r="E101" s="111"/>
      <c r="F101" s="56"/>
      <c r="G101" s="108"/>
    </row>
    <row r="102" spans="1:9" ht="15" hidden="1" customHeight="1" x14ac:dyDescent="0.25">
      <c r="A102" s="109" t="s">
        <v>106</v>
      </c>
      <c r="B102" s="45"/>
      <c r="C102" s="21"/>
      <c r="D102" s="21"/>
      <c r="E102" s="112"/>
      <c r="F102" s="56"/>
      <c r="G102" s="108"/>
    </row>
    <row r="103" spans="1:9" ht="15" hidden="1" customHeight="1" x14ac:dyDescent="0.25">
      <c r="A103" s="109" t="s">
        <v>154</v>
      </c>
      <c r="B103" s="45"/>
      <c r="C103" s="21"/>
      <c r="D103" s="21"/>
      <c r="E103" s="112">
        <f>+$F$21-$L$31</f>
        <v>2548</v>
      </c>
      <c r="F103" s="56">
        <v>0.33</v>
      </c>
      <c r="G103" s="108">
        <f>-E103*F103</f>
        <v>-840.84</v>
      </c>
    </row>
    <row r="104" spans="1:9" ht="15" hidden="1" customHeight="1" x14ac:dyDescent="0.25">
      <c r="A104" s="107"/>
      <c r="B104" s="121"/>
      <c r="C104" s="21"/>
      <c r="D104" s="21"/>
      <c r="E104" s="111"/>
      <c r="F104" s="56"/>
      <c r="G104" s="108"/>
    </row>
    <row r="105" spans="1:9" ht="15" hidden="1" customHeight="1" x14ac:dyDescent="0.25">
      <c r="A105" s="109" t="s">
        <v>104</v>
      </c>
      <c r="B105" s="121"/>
      <c r="C105" s="21"/>
      <c r="D105" s="21"/>
      <c r="E105" s="111"/>
      <c r="F105" s="56"/>
      <c r="G105" s="108"/>
    </row>
    <row r="106" spans="1:9" ht="15" hidden="1" customHeight="1" x14ac:dyDescent="0.25">
      <c r="A106" s="113" t="s">
        <v>155</v>
      </c>
      <c r="B106" s="121"/>
      <c r="C106" s="21"/>
      <c r="D106" s="21"/>
      <c r="E106" s="114">
        <f>+E97-E99-E103</f>
        <v>3252</v>
      </c>
      <c r="F106" s="56">
        <v>0.28999999999999998</v>
      </c>
      <c r="G106" s="115">
        <f>-E106*F106</f>
        <v>-943.07999999999993</v>
      </c>
    </row>
    <row r="107" spans="1:9" ht="15" hidden="1" customHeight="1" x14ac:dyDescent="0.25">
      <c r="A107" s="116"/>
      <c r="B107" s="117"/>
      <c r="C107" s="122"/>
      <c r="D107" s="122"/>
      <c r="E107" s="117"/>
      <c r="F107" s="118" t="s">
        <v>105</v>
      </c>
      <c r="G107" s="123">
        <f>SUM(G99:G106)</f>
        <v>-1813.92</v>
      </c>
    </row>
    <row r="108" spans="1:9" ht="15" hidden="1" customHeight="1" x14ac:dyDescent="0.25"/>
    <row r="109" spans="1:9" ht="15" hidden="1" customHeight="1" x14ac:dyDescent="0.25">
      <c r="A109" s="1" t="s">
        <v>129</v>
      </c>
    </row>
    <row r="110" spans="1:9" ht="15" hidden="1" customHeight="1" x14ac:dyDescent="0.25">
      <c r="A110" s="201" t="s">
        <v>138</v>
      </c>
      <c r="B110" s="202"/>
      <c r="C110" s="202"/>
      <c r="D110" s="202"/>
      <c r="E110" s="205">
        <v>1000</v>
      </c>
      <c r="F110" s="105"/>
      <c r="G110" s="106"/>
    </row>
    <row r="111" spans="1:9" ht="15" hidden="1" customHeight="1" x14ac:dyDescent="0.25">
      <c r="A111" s="203"/>
      <c r="B111" s="204"/>
      <c r="C111" s="204"/>
      <c r="D111" s="204"/>
      <c r="E111" s="206"/>
      <c r="G111" s="108"/>
    </row>
    <row r="112" spans="1:9" ht="15" hidden="1" customHeight="1" x14ac:dyDescent="0.25">
      <c r="A112" s="107"/>
      <c r="B112" s="121"/>
      <c r="C112" s="65"/>
      <c r="D112" s="56"/>
      <c r="E112" s="108"/>
      <c r="F112" s="119" t="s">
        <v>107</v>
      </c>
      <c r="G112" s="108"/>
    </row>
    <row r="113" spans="1:10" ht="15" hidden="1" customHeight="1" x14ac:dyDescent="0.25">
      <c r="A113" s="109" t="s">
        <v>115</v>
      </c>
      <c r="B113" s="45"/>
      <c r="C113" s="21"/>
      <c r="D113" s="21"/>
      <c r="E113" s="110">
        <v>400</v>
      </c>
      <c r="F113" s="56">
        <v>0.75</v>
      </c>
      <c r="G113" s="108">
        <f>-E113*F113</f>
        <v>-300</v>
      </c>
    </row>
    <row r="114" spans="1:10" ht="15" hidden="1" customHeight="1" x14ac:dyDescent="0.25">
      <c r="A114" s="107"/>
      <c r="B114" s="121"/>
      <c r="C114" s="21"/>
      <c r="D114" s="21"/>
      <c r="E114" s="111"/>
      <c r="F114" s="56"/>
      <c r="G114" s="108"/>
    </row>
    <row r="115" spans="1:10" ht="15" hidden="1" customHeight="1" x14ac:dyDescent="0.25">
      <c r="A115" s="109" t="s">
        <v>116</v>
      </c>
      <c r="B115" s="45"/>
      <c r="C115" s="21"/>
      <c r="D115" s="21"/>
      <c r="E115" s="112">
        <f>750-400</f>
        <v>350</v>
      </c>
      <c r="F115" s="56">
        <v>0.5</v>
      </c>
      <c r="G115" s="108">
        <f>-E115*F115</f>
        <v>-175</v>
      </c>
    </row>
    <row r="116" spans="1:10" ht="15" hidden="1" customHeight="1" x14ac:dyDescent="0.25">
      <c r="A116" s="107"/>
      <c r="B116" s="121"/>
      <c r="C116" s="21"/>
      <c r="D116" s="21"/>
      <c r="E116" s="111"/>
      <c r="F116" s="56"/>
      <c r="G116" s="108"/>
    </row>
    <row r="117" spans="1:10" ht="15" hidden="1" customHeight="1" x14ac:dyDescent="0.25">
      <c r="A117" s="109" t="s">
        <v>117</v>
      </c>
      <c r="B117" s="121"/>
      <c r="C117" s="21"/>
      <c r="D117" s="21"/>
      <c r="E117" s="114">
        <f>+E110-E113-E115</f>
        <v>250</v>
      </c>
      <c r="F117" s="57">
        <v>0.33300000000000002</v>
      </c>
      <c r="G117" s="115">
        <f>-E117*F117</f>
        <v>-83.25</v>
      </c>
    </row>
    <row r="118" spans="1:10" ht="15" hidden="1" customHeight="1" x14ac:dyDescent="0.25">
      <c r="A118" s="116"/>
      <c r="B118" s="117"/>
      <c r="C118" s="122"/>
      <c r="D118" s="122"/>
      <c r="E118" s="117"/>
      <c r="F118" s="118" t="s">
        <v>105</v>
      </c>
      <c r="G118" s="123">
        <f>SUM(G113:G117)</f>
        <v>-558.25</v>
      </c>
    </row>
    <row r="119" spans="1:10" ht="15" hidden="1" customHeight="1" x14ac:dyDescent="0.25"/>
    <row r="120" spans="1:10" ht="15" hidden="1" customHeight="1" x14ac:dyDescent="0.25"/>
    <row r="121" spans="1:10" ht="30" customHeight="1" x14ac:dyDescent="0.25">
      <c r="A121" s="220" t="s">
        <v>126</v>
      </c>
      <c r="B121" s="218"/>
      <c r="C121" s="218"/>
      <c r="D121" s="218"/>
      <c r="E121" s="218"/>
      <c r="F121" s="218"/>
      <c r="G121" s="218"/>
      <c r="H121" s="218"/>
      <c r="I121" s="219"/>
    </row>
    <row r="122" spans="1:10" ht="15" customHeight="1" x14ac:dyDescent="0.25">
      <c r="A122" s="5"/>
      <c r="B122" s="5"/>
      <c r="C122" s="5"/>
      <c r="H122" s="58"/>
      <c r="I122" s="84"/>
    </row>
    <row r="123" spans="1:10" ht="15" customHeight="1" x14ac:dyDescent="0.25">
      <c r="A123" s="94"/>
      <c r="B123" s="95"/>
      <c r="C123" s="95"/>
      <c r="D123" s="96"/>
      <c r="E123" s="97"/>
      <c r="F123" s="98" t="s">
        <v>89</v>
      </c>
      <c r="G123" s="99" t="s">
        <v>125</v>
      </c>
      <c r="H123" s="100"/>
      <c r="I123" s="101"/>
    </row>
    <row r="124" spans="1:10" ht="15" customHeight="1" x14ac:dyDescent="0.25">
      <c r="A124" s="21"/>
      <c r="B124" s="21"/>
      <c r="C124" s="21"/>
      <c r="D124" s="86"/>
      <c r="E124" s="87"/>
      <c r="F124" s="88"/>
      <c r="G124" s="89"/>
      <c r="H124" s="92"/>
      <c r="I124" s="92"/>
    </row>
    <row r="125" spans="1:10" ht="15" customHeight="1" x14ac:dyDescent="0.25">
      <c r="A125" s="165" t="s">
        <v>63</v>
      </c>
      <c r="B125" s="166"/>
      <c r="C125" s="166"/>
      <c r="D125" s="167"/>
      <c r="E125" s="168"/>
      <c r="F125" s="169"/>
      <c r="G125" s="169"/>
      <c r="H125" s="82"/>
      <c r="I125" s="82"/>
      <c r="J125" s="39"/>
    </row>
    <row r="126" spans="1:10" ht="15" hidden="1" customHeight="1" x14ac:dyDescent="0.25">
      <c r="A126" s="167" t="s">
        <v>45</v>
      </c>
      <c r="B126" s="167"/>
      <c r="C126" s="167"/>
      <c r="D126" s="167"/>
      <c r="E126" s="168"/>
      <c r="F126" s="169">
        <v>134000</v>
      </c>
      <c r="G126" s="169"/>
      <c r="H126" s="82"/>
      <c r="I126" s="82"/>
      <c r="J126" s="39"/>
    </row>
    <row r="127" spans="1:10" ht="15" hidden="1" customHeight="1" x14ac:dyDescent="0.25">
      <c r="A127" s="167" t="s">
        <v>91</v>
      </c>
      <c r="B127" s="167"/>
      <c r="C127" s="167"/>
      <c r="D127" s="167"/>
      <c r="E127" s="168"/>
      <c r="F127" s="169">
        <v>-11000</v>
      </c>
      <c r="G127" s="169"/>
      <c r="H127" s="82"/>
      <c r="I127" s="82"/>
      <c r="J127" s="39"/>
    </row>
    <row r="128" spans="1:10" ht="15" hidden="1" customHeight="1" x14ac:dyDescent="0.25">
      <c r="A128" s="167" t="s">
        <v>160</v>
      </c>
      <c r="B128" s="167"/>
      <c r="C128" s="167"/>
      <c r="D128" s="167"/>
      <c r="E128" s="168"/>
      <c r="F128" s="169">
        <v>70000</v>
      </c>
      <c r="G128" s="169"/>
      <c r="H128" s="82"/>
      <c r="I128" s="82"/>
      <c r="J128" s="39"/>
    </row>
    <row r="129" spans="1:12" ht="15" hidden="1" customHeight="1" x14ac:dyDescent="0.25">
      <c r="A129" s="167"/>
      <c r="B129" s="167"/>
      <c r="C129" s="167"/>
      <c r="D129" s="167"/>
      <c r="E129" s="168"/>
      <c r="F129" s="169"/>
      <c r="G129" s="169"/>
      <c r="H129" s="82"/>
      <c r="I129" s="82"/>
      <c r="J129" s="39"/>
    </row>
    <row r="130" spans="1:12" ht="15" hidden="1" customHeight="1" x14ac:dyDescent="0.25">
      <c r="A130" s="167" t="s">
        <v>161</v>
      </c>
      <c r="B130" s="167"/>
      <c r="C130" s="167"/>
      <c r="D130" s="167"/>
      <c r="E130" s="168"/>
      <c r="F130" s="169">
        <v>50000</v>
      </c>
      <c r="G130" s="169"/>
      <c r="H130" s="82"/>
      <c r="I130" s="82"/>
      <c r="J130" s="39"/>
    </row>
    <row r="131" spans="1:12" ht="15" customHeight="1" x14ac:dyDescent="0.25">
      <c r="A131" s="167"/>
      <c r="B131" s="167"/>
      <c r="C131" s="167"/>
      <c r="D131" s="167"/>
      <c r="E131" s="170" t="s">
        <v>61</v>
      </c>
      <c r="F131" s="171">
        <f>SUM(F126:F130)</f>
        <v>243000</v>
      </c>
      <c r="G131" s="171"/>
      <c r="H131" s="82"/>
      <c r="I131" s="82"/>
      <c r="J131" s="39"/>
    </row>
    <row r="132" spans="1:12" ht="15" customHeight="1" x14ac:dyDescent="0.25">
      <c r="A132" s="39"/>
      <c r="B132" s="39"/>
      <c r="C132" s="39"/>
      <c r="D132" s="39"/>
      <c r="E132" s="52"/>
      <c r="F132" s="44"/>
      <c r="G132" s="44"/>
      <c r="H132" s="82"/>
      <c r="I132" s="82"/>
      <c r="J132" s="39"/>
    </row>
    <row r="133" spans="1:12" ht="15" customHeight="1" x14ac:dyDescent="0.25">
      <c r="A133" s="172" t="s">
        <v>64</v>
      </c>
      <c r="B133" s="173"/>
      <c r="C133" s="173"/>
      <c r="D133" s="173"/>
      <c r="E133" s="174"/>
      <c r="F133" s="175"/>
      <c r="G133" s="175"/>
      <c r="I133" s="82"/>
      <c r="J133" s="39"/>
    </row>
    <row r="134" spans="1:12" ht="15" hidden="1" customHeight="1" x14ac:dyDescent="0.25">
      <c r="A134" s="173" t="s">
        <v>127</v>
      </c>
      <c r="B134" s="173"/>
      <c r="C134" s="173"/>
      <c r="D134" s="173"/>
      <c r="E134" s="174"/>
      <c r="F134" s="175"/>
      <c r="G134" s="175"/>
      <c r="H134" s="47" t="s">
        <v>123</v>
      </c>
      <c r="I134" s="82"/>
      <c r="J134" s="39"/>
    </row>
    <row r="135" spans="1:12" ht="15" customHeight="1" thickBot="1" x14ac:dyDescent="0.3">
      <c r="A135" s="172"/>
      <c r="B135" s="173"/>
      <c r="C135" s="173"/>
      <c r="D135" s="173"/>
      <c r="E135" s="176" t="s">
        <v>120</v>
      </c>
      <c r="F135" s="177">
        <f>SUM(F131:F134)</f>
        <v>243000</v>
      </c>
      <c r="G135" s="178"/>
      <c r="H135" s="47" t="s">
        <v>123</v>
      </c>
      <c r="I135" s="58"/>
      <c r="J135" s="39"/>
    </row>
    <row r="136" spans="1:12" ht="15" hidden="1" customHeight="1" thickTop="1" x14ac:dyDescent="0.25">
      <c r="A136" s="47"/>
      <c r="B136" s="39"/>
      <c r="C136" s="39"/>
      <c r="D136" s="39"/>
      <c r="E136" s="52"/>
      <c r="F136" s="44"/>
      <c r="G136" s="134"/>
      <c r="H136" s="213"/>
      <c r="I136" s="214"/>
      <c r="J136" s="39"/>
    </row>
    <row r="137" spans="1:12" ht="30" hidden="1" customHeight="1" x14ac:dyDescent="0.25">
      <c r="A137" s="47"/>
      <c r="B137" s="39"/>
      <c r="C137" s="39"/>
      <c r="D137" s="39"/>
      <c r="E137" s="52"/>
      <c r="F137" s="44"/>
      <c r="G137" s="134"/>
      <c r="H137" s="213"/>
      <c r="I137" s="214"/>
      <c r="J137" s="39"/>
    </row>
    <row r="138" spans="1:12" ht="15" hidden="1" customHeight="1" x14ac:dyDescent="0.25">
      <c r="A138" s="47"/>
      <c r="B138" s="39"/>
      <c r="C138" s="39"/>
      <c r="D138" s="39"/>
      <c r="E138" s="52"/>
      <c r="F138" s="44"/>
      <c r="G138" s="134"/>
      <c r="H138" s="193"/>
      <c r="I138" s="194"/>
      <c r="J138" s="39"/>
    </row>
    <row r="139" spans="1:12" ht="15" customHeight="1" thickTop="1" x14ac:dyDescent="0.25">
      <c r="A139" s="47"/>
      <c r="B139" s="39"/>
      <c r="C139" s="39"/>
      <c r="D139" s="39"/>
      <c r="E139" s="52"/>
      <c r="F139" s="44"/>
      <c r="G139" s="133">
        <v>293000</v>
      </c>
      <c r="H139" s="93" t="s">
        <v>92</v>
      </c>
      <c r="I139" s="82"/>
      <c r="J139" s="39"/>
    </row>
    <row r="140" spans="1:12" ht="15" customHeight="1" x14ac:dyDescent="0.25">
      <c r="A140" s="47"/>
      <c r="B140" s="39"/>
      <c r="C140" s="39"/>
      <c r="D140" s="39"/>
      <c r="E140" s="52"/>
      <c r="F140" s="44"/>
      <c r="G140" s="44"/>
      <c r="H140" s="93"/>
      <c r="I140" s="82"/>
      <c r="J140" s="39"/>
    </row>
    <row r="141" spans="1:12" ht="15" customHeight="1" thickBot="1" x14ac:dyDescent="0.3">
      <c r="A141" s="179" t="s">
        <v>65</v>
      </c>
      <c r="B141" s="180"/>
      <c r="C141" s="180"/>
      <c r="D141" s="180"/>
      <c r="E141" s="181"/>
      <c r="F141" s="182"/>
      <c r="G141" s="182"/>
      <c r="H141" s="47" t="s">
        <v>86</v>
      </c>
      <c r="I141" s="82"/>
      <c r="J141" s="39"/>
      <c r="K141" s="48" t="s">
        <v>84</v>
      </c>
      <c r="L141" s="49"/>
    </row>
    <row r="142" spans="1:12" ht="15" hidden="1" customHeight="1" x14ac:dyDescent="0.25">
      <c r="A142" s="47"/>
      <c r="B142" s="39"/>
      <c r="C142" s="39"/>
      <c r="D142" s="39"/>
      <c r="E142" s="43"/>
      <c r="F142" s="80"/>
      <c r="G142" s="80"/>
      <c r="H142" s="38"/>
      <c r="I142" s="82"/>
      <c r="J142" s="39"/>
      <c r="K142" s="50" t="s">
        <v>47</v>
      </c>
      <c r="L142" s="51">
        <f t="shared" ref="L142:L152" si="0">+L28</f>
        <v>55867</v>
      </c>
    </row>
    <row r="143" spans="1:12" ht="15" hidden="1" customHeight="1" x14ac:dyDescent="0.25">
      <c r="A143" s="55" t="s">
        <v>121</v>
      </c>
      <c r="B143" s="39"/>
      <c r="C143" s="39"/>
      <c r="D143" s="39"/>
      <c r="E143" s="43"/>
      <c r="F143" s="80"/>
      <c r="G143" s="80">
        <f>+G139</f>
        <v>293000</v>
      </c>
      <c r="H143" s="38" t="s">
        <v>92</v>
      </c>
      <c r="I143" s="82"/>
      <c r="J143" s="39"/>
      <c r="K143" s="50" t="s">
        <v>48</v>
      </c>
      <c r="L143" s="51">
        <f t="shared" si="0"/>
        <v>111733</v>
      </c>
    </row>
    <row r="144" spans="1:12" ht="15" hidden="1" customHeight="1" x14ac:dyDescent="0.25">
      <c r="A144" s="45" t="str">
        <f>+A30</f>
        <v>55 867 $ et moins:</v>
      </c>
      <c r="D144" s="56">
        <v>0.15</v>
      </c>
      <c r="E144" s="45">
        <f>+MIN(F135,$L$28)*D144</f>
        <v>8380.0499999999993</v>
      </c>
      <c r="F144" s="80"/>
      <c r="G144" s="80">
        <f>-(L144+1)</f>
        <v>-173206</v>
      </c>
      <c r="H144" s="38" t="s">
        <v>150</v>
      </c>
      <c r="I144" s="82"/>
      <c r="J144" s="39"/>
      <c r="K144" s="50" t="s">
        <v>49</v>
      </c>
      <c r="L144" s="51">
        <f t="shared" si="0"/>
        <v>173205</v>
      </c>
    </row>
    <row r="145" spans="1:12" ht="15" hidden="1" customHeight="1" x14ac:dyDescent="0.25">
      <c r="A145" s="45" t="str">
        <f>+A31</f>
        <v>Entre 55 868 $ et 111 733 $:</v>
      </c>
      <c r="D145" s="57">
        <v>0.20499999999999999</v>
      </c>
      <c r="E145" s="58">
        <f>MIN(($F$135-$L$28),($L$29-$L$28))*D145</f>
        <v>11452.529999999999</v>
      </c>
      <c r="F145" s="80"/>
      <c r="G145" s="133">
        <f>+G143+G144</f>
        <v>119794</v>
      </c>
      <c r="H145" s="82"/>
      <c r="I145" s="82"/>
      <c r="J145" s="39"/>
      <c r="K145" s="50" t="s">
        <v>50</v>
      </c>
      <c r="L145" s="51">
        <f t="shared" si="0"/>
        <v>246752</v>
      </c>
    </row>
    <row r="146" spans="1:12" ht="15" hidden="1" customHeight="1" x14ac:dyDescent="0.25">
      <c r="A146" s="45" t="str">
        <f>+A32</f>
        <v>Entre 111 734 $ et 173 205 $:</v>
      </c>
      <c r="D146" s="56">
        <v>0.26</v>
      </c>
      <c r="E146" s="58">
        <f>MIN(($F$135-$L$29),($L$30-$L$29))*D146</f>
        <v>15982.720000000001</v>
      </c>
      <c r="F146" s="80"/>
      <c r="G146" s="80"/>
      <c r="H146" s="82"/>
      <c r="I146" s="82"/>
      <c r="J146" s="39"/>
      <c r="K146" s="50" t="s">
        <v>51</v>
      </c>
      <c r="L146" s="51">
        <f t="shared" si="0"/>
        <v>15705</v>
      </c>
    </row>
    <row r="147" spans="1:12" ht="15" hidden="1" customHeight="1" x14ac:dyDescent="0.25">
      <c r="A147" s="45" t="str">
        <f>+A33</f>
        <v>Entre 173 206 $ et 246 752 $:</v>
      </c>
      <c r="D147" s="56">
        <v>0.28999999999999998</v>
      </c>
      <c r="E147" s="58">
        <f>MIN(($F$135-$L$30),($L$31-$L$30))*D147</f>
        <v>20240.55</v>
      </c>
      <c r="F147" s="80"/>
      <c r="G147" s="80"/>
      <c r="H147" s="82"/>
      <c r="I147" s="82"/>
      <c r="J147" s="39"/>
      <c r="K147" s="50" t="s">
        <v>52</v>
      </c>
      <c r="L147" s="51">
        <f t="shared" si="0"/>
        <v>4348</v>
      </c>
    </row>
    <row r="148" spans="1:12" ht="15" hidden="1" customHeight="1" x14ac:dyDescent="0.25">
      <c r="A148" s="45" t="str">
        <f>+A34</f>
        <v>246 753 $ et plus:</v>
      </c>
      <c r="D148" s="56">
        <v>0.33</v>
      </c>
      <c r="E148" s="59">
        <f>MAX(($F$135-L145),0)*D148</f>
        <v>0</v>
      </c>
      <c r="F148" s="80"/>
      <c r="G148" s="80"/>
      <c r="H148" s="82"/>
      <c r="I148" s="82"/>
      <c r="J148" s="39"/>
      <c r="K148" s="50" t="s">
        <v>53</v>
      </c>
      <c r="L148" s="51">
        <f t="shared" si="0"/>
        <v>464</v>
      </c>
    </row>
    <row r="149" spans="1:12" ht="15" hidden="1" customHeight="1" x14ac:dyDescent="0.25">
      <c r="A149" s="47"/>
      <c r="B149" s="39"/>
      <c r="C149" s="39"/>
      <c r="D149" s="39"/>
      <c r="E149" s="43">
        <f>SUM(E144:E148)</f>
        <v>56055.850000000006</v>
      </c>
      <c r="F149" s="61">
        <f>+E149</f>
        <v>56055.850000000006</v>
      </c>
      <c r="G149" s="61">
        <f>+G145*0.205</f>
        <v>24557.769999999997</v>
      </c>
      <c r="H149" s="82" t="s">
        <v>163</v>
      </c>
      <c r="I149" s="82"/>
      <c r="J149" s="39"/>
      <c r="K149" s="50" t="s">
        <v>54</v>
      </c>
      <c r="L149" s="51">
        <f t="shared" si="0"/>
        <v>834</v>
      </c>
    </row>
    <row r="150" spans="1:12" ht="15" hidden="1" customHeight="1" x14ac:dyDescent="0.25">
      <c r="A150" s="47"/>
      <c r="B150" s="39"/>
      <c r="C150" s="39"/>
      <c r="D150" s="39"/>
      <c r="E150" s="43"/>
      <c r="F150" s="60"/>
      <c r="G150" s="60"/>
      <c r="H150" s="162"/>
      <c r="I150" s="82"/>
      <c r="J150" s="39"/>
      <c r="K150" s="50" t="s">
        <v>55</v>
      </c>
      <c r="L150" s="51">
        <f t="shared" si="0"/>
        <v>1433</v>
      </c>
    </row>
    <row r="151" spans="1:12" ht="15" hidden="1" customHeight="1" thickBot="1" x14ac:dyDescent="0.3">
      <c r="A151" s="55" t="s">
        <v>67</v>
      </c>
      <c r="B151" s="63"/>
      <c r="C151" s="39"/>
      <c r="D151" s="39"/>
      <c r="E151" s="43"/>
      <c r="F151" s="60"/>
      <c r="G151" s="60"/>
      <c r="H151" s="128"/>
      <c r="I151" s="82"/>
      <c r="J151" s="39"/>
      <c r="K151" s="50" t="s">
        <v>56</v>
      </c>
      <c r="L151" s="51">
        <f t="shared" si="0"/>
        <v>2759</v>
      </c>
    </row>
    <row r="152" spans="1:12" ht="15" hidden="1" customHeight="1" x14ac:dyDescent="0.25">
      <c r="A152" s="75" t="s">
        <v>68</v>
      </c>
      <c r="B152" s="63"/>
      <c r="C152" s="39"/>
      <c r="D152" s="39"/>
      <c r="E152" s="43"/>
      <c r="F152" s="125">
        <f>-$L$32*0.15</f>
        <v>-2355.75</v>
      </c>
      <c r="G152" s="125">
        <f>+F152/2</f>
        <v>-1177.875</v>
      </c>
      <c r="H152" s="195" t="s">
        <v>159</v>
      </c>
      <c r="I152" s="196"/>
      <c r="J152" s="39"/>
      <c r="K152" s="50" t="s">
        <v>57</v>
      </c>
      <c r="L152" s="51">
        <f t="shared" si="0"/>
        <v>8790</v>
      </c>
    </row>
    <row r="153" spans="1:12" ht="15" hidden="1" customHeight="1" x14ac:dyDescent="0.25">
      <c r="A153" s="67" t="s">
        <v>169</v>
      </c>
      <c r="B153" s="63"/>
      <c r="C153" s="39"/>
      <c r="D153" s="39"/>
      <c r="E153" s="43"/>
      <c r="F153" s="126"/>
      <c r="G153" s="126"/>
      <c r="H153" s="197"/>
      <c r="I153" s="198"/>
      <c r="J153" s="39"/>
      <c r="K153" s="50"/>
      <c r="L153" s="51"/>
    </row>
    <row r="154" spans="1:12" ht="15" hidden="1" customHeight="1" x14ac:dyDescent="0.25">
      <c r="A154" s="76" t="s">
        <v>93</v>
      </c>
      <c r="B154" s="71"/>
      <c r="C154" s="71"/>
      <c r="D154" s="71"/>
      <c r="E154" s="71"/>
      <c r="F154" s="126"/>
      <c r="G154" s="126"/>
      <c r="H154" s="197"/>
      <c r="I154" s="198"/>
      <c r="J154" s="39"/>
      <c r="K154" s="50" t="s">
        <v>58</v>
      </c>
      <c r="L154" s="51">
        <f>+L40</f>
        <v>44325</v>
      </c>
    </row>
    <row r="155" spans="1:12" ht="15" hidden="1" customHeight="1" x14ac:dyDescent="0.25">
      <c r="A155" s="72" t="s">
        <v>151</v>
      </c>
      <c r="B155" s="71"/>
      <c r="C155" s="71"/>
      <c r="D155" s="71"/>
      <c r="E155" s="71"/>
      <c r="F155" s="126">
        <f>+F152</f>
        <v>-2355.75</v>
      </c>
      <c r="G155" s="126">
        <f>+F155/2</f>
        <v>-1177.875</v>
      </c>
      <c r="H155" s="197"/>
      <c r="I155" s="198"/>
      <c r="J155" s="39"/>
      <c r="K155" s="50" t="s">
        <v>59</v>
      </c>
      <c r="L155" s="51">
        <f>+L41</f>
        <v>8375</v>
      </c>
    </row>
    <row r="156" spans="1:12" ht="15" hidden="1" customHeight="1" x14ac:dyDescent="0.25">
      <c r="A156" s="72" t="s">
        <v>94</v>
      </c>
      <c r="B156" s="71"/>
      <c r="C156" s="71"/>
      <c r="D156" s="71"/>
      <c r="E156" s="71"/>
      <c r="F156" s="126"/>
      <c r="G156" s="126"/>
      <c r="H156" s="197"/>
      <c r="I156" s="198"/>
      <c r="J156" s="39"/>
      <c r="K156" s="50" t="s">
        <v>62</v>
      </c>
      <c r="L156" s="51">
        <f>+L42</f>
        <v>9872</v>
      </c>
    </row>
    <row r="157" spans="1:12" ht="15" hidden="1" customHeight="1" x14ac:dyDescent="0.25">
      <c r="A157" s="77" t="s">
        <v>70</v>
      </c>
      <c r="B157" s="39"/>
      <c r="C157" s="39"/>
      <c r="D157" s="39"/>
      <c r="E157" s="43"/>
      <c r="F157" s="126">
        <f>-((1450+1900-540)-MIN($F$17*0.03,$L$37))*0.15</f>
        <v>-7.6499999999999995</v>
      </c>
      <c r="G157" s="126">
        <f>+F157/2</f>
        <v>-3.8249999999999997</v>
      </c>
      <c r="H157" s="197"/>
      <c r="I157" s="198"/>
      <c r="J157" s="39"/>
    </row>
    <row r="158" spans="1:12" ht="15" hidden="1" customHeight="1" x14ac:dyDescent="0.25">
      <c r="A158" s="65" t="s">
        <v>162</v>
      </c>
      <c r="B158" s="39"/>
      <c r="C158" s="39"/>
      <c r="D158" s="39"/>
      <c r="E158" s="43"/>
      <c r="F158" s="126"/>
      <c r="G158" s="126"/>
      <c r="H158" s="197"/>
      <c r="I158" s="198"/>
      <c r="J158" s="39"/>
    </row>
    <row r="159" spans="1:12" ht="15" hidden="1" customHeight="1" x14ac:dyDescent="0.25">
      <c r="A159" s="67" t="s">
        <v>141</v>
      </c>
      <c r="B159" s="68"/>
      <c r="C159" s="68"/>
      <c r="D159" s="68"/>
      <c r="E159" s="69"/>
      <c r="F159" s="126"/>
      <c r="G159" s="126"/>
      <c r="H159" s="197"/>
      <c r="I159" s="198"/>
      <c r="J159" s="39"/>
    </row>
    <row r="160" spans="1:12" ht="15" hidden="1" customHeight="1" x14ac:dyDescent="0.25">
      <c r="A160" s="67" t="s">
        <v>142</v>
      </c>
      <c r="B160" s="68"/>
      <c r="C160" s="68"/>
      <c r="D160" s="68"/>
      <c r="E160" s="69"/>
      <c r="F160" s="126"/>
      <c r="G160" s="126"/>
      <c r="H160" s="197"/>
      <c r="I160" s="198"/>
      <c r="J160" s="39"/>
    </row>
    <row r="161" spans="1:10" ht="15" hidden="1" customHeight="1" x14ac:dyDescent="0.25">
      <c r="A161" s="67" t="s">
        <v>140</v>
      </c>
      <c r="B161" s="68"/>
      <c r="C161" s="68"/>
      <c r="D161" s="68"/>
      <c r="E161" s="69"/>
      <c r="F161" s="126"/>
      <c r="G161" s="126"/>
      <c r="H161" s="197"/>
      <c r="I161" s="198"/>
      <c r="J161" s="39"/>
    </row>
    <row r="162" spans="1:10" ht="15" hidden="1" customHeight="1" x14ac:dyDescent="0.25">
      <c r="A162" s="79" t="s">
        <v>72</v>
      </c>
      <c r="B162" s="64"/>
      <c r="C162" s="39"/>
      <c r="D162" s="39"/>
      <c r="E162" s="43"/>
      <c r="F162" s="126"/>
      <c r="G162" s="126"/>
      <c r="H162" s="197"/>
      <c r="I162" s="198"/>
      <c r="J162" s="39"/>
    </row>
    <row r="163" spans="1:10" ht="15" hidden="1" customHeight="1" x14ac:dyDescent="0.25">
      <c r="A163" s="64"/>
      <c r="B163" s="64"/>
      <c r="C163" s="39"/>
      <c r="D163" s="39"/>
      <c r="E163" s="43" t="s">
        <v>75</v>
      </c>
      <c r="F163" s="126">
        <f>-L147*0.15</f>
        <v>-652.19999999999993</v>
      </c>
      <c r="G163" s="126">
        <f>+F163/2</f>
        <v>-326.09999999999997</v>
      </c>
      <c r="H163" s="197"/>
      <c r="I163" s="198"/>
      <c r="J163" s="39"/>
    </row>
    <row r="164" spans="1:10" ht="15" hidden="1" customHeight="1" x14ac:dyDescent="0.25">
      <c r="A164" s="64"/>
      <c r="B164" s="64"/>
      <c r="C164" s="39"/>
      <c r="D164" s="39"/>
      <c r="E164" s="43" t="s">
        <v>76</v>
      </c>
      <c r="F164" s="126">
        <f t="shared" ref="F164:F166" si="1">-L148*0.15</f>
        <v>-69.599999999999994</v>
      </c>
      <c r="G164" s="126">
        <f>+F164/2</f>
        <v>-34.799999999999997</v>
      </c>
      <c r="H164" s="197"/>
      <c r="I164" s="198"/>
      <c r="J164" s="39"/>
    </row>
    <row r="165" spans="1:10" ht="15" hidden="1" customHeight="1" x14ac:dyDescent="0.25">
      <c r="A165" s="64"/>
      <c r="B165" s="64"/>
      <c r="C165" s="39"/>
      <c r="D165" s="39"/>
      <c r="E165" s="43" t="s">
        <v>77</v>
      </c>
      <c r="F165" s="126">
        <f t="shared" si="1"/>
        <v>-125.1</v>
      </c>
      <c r="G165" s="126">
        <f>+F165/2</f>
        <v>-62.55</v>
      </c>
      <c r="H165" s="197"/>
      <c r="I165" s="198"/>
      <c r="J165" s="39"/>
    </row>
    <row r="166" spans="1:10" ht="15" hidden="1" customHeight="1" thickBot="1" x14ac:dyDescent="0.3">
      <c r="A166" s="42" t="s">
        <v>73</v>
      </c>
      <c r="B166" s="39"/>
      <c r="C166" s="39"/>
      <c r="D166" s="39"/>
      <c r="E166" s="43"/>
      <c r="F166" s="127">
        <f t="shared" si="1"/>
        <v>-214.95</v>
      </c>
      <c r="G166" s="127">
        <f>+F166/2</f>
        <v>-107.47499999999999</v>
      </c>
      <c r="H166" s="199"/>
      <c r="I166" s="200"/>
      <c r="J166" s="39"/>
    </row>
    <row r="167" spans="1:10" ht="15" customHeight="1" thickBot="1" x14ac:dyDescent="0.3">
      <c r="A167" s="39"/>
      <c r="B167" s="39"/>
      <c r="C167" s="39"/>
      <c r="D167" s="39"/>
      <c r="E167" s="52" t="s">
        <v>83</v>
      </c>
      <c r="F167" s="130">
        <f>+SUM(F149:F166)</f>
        <v>50274.850000000013</v>
      </c>
      <c r="G167" s="130">
        <f>MAX(+SUM(G149:G166),0)</f>
        <v>21667.27</v>
      </c>
      <c r="H167" s="129" t="s">
        <v>124</v>
      </c>
      <c r="I167" s="82"/>
      <c r="J167" s="39"/>
    </row>
    <row r="168" spans="1:10" ht="15" customHeight="1" thickBot="1" x14ac:dyDescent="0.3">
      <c r="A168" s="74"/>
      <c r="B168" s="74"/>
      <c r="C168" s="74"/>
      <c r="D168" s="74"/>
      <c r="E168" s="131" t="s">
        <v>122</v>
      </c>
      <c r="F168" s="130">
        <f>+F167</f>
        <v>50274.850000000013</v>
      </c>
      <c r="G168" s="60"/>
      <c r="H168" s="82"/>
      <c r="I168" s="82"/>
      <c r="J168" s="39"/>
    </row>
    <row r="169" spans="1:10" ht="15" customHeight="1" x14ac:dyDescent="0.25">
      <c r="A169" s="207" t="s">
        <v>131</v>
      </c>
      <c r="B169" s="207"/>
      <c r="C169" s="207"/>
      <c r="D169" s="207"/>
      <c r="E169" s="208"/>
      <c r="F169" s="146"/>
      <c r="G169" s="60"/>
      <c r="H169" s="82"/>
      <c r="I169" s="82"/>
      <c r="J169" s="39"/>
    </row>
    <row r="170" spans="1:10" ht="15" customHeight="1" x14ac:dyDescent="0.25">
      <c r="A170" s="207"/>
      <c r="B170" s="207"/>
      <c r="C170" s="207"/>
      <c r="D170" s="207"/>
      <c r="E170" s="208"/>
      <c r="F170" s="146">
        <f>-(F168-G167)</f>
        <v>-28607.580000000013</v>
      </c>
      <c r="G170" s="60"/>
      <c r="H170" s="82"/>
      <c r="I170" s="82"/>
      <c r="J170" s="39"/>
    </row>
    <row r="171" spans="1:10" ht="15" customHeight="1" x14ac:dyDescent="0.25">
      <c r="A171" s="209" t="s">
        <v>132</v>
      </c>
      <c r="B171" s="209"/>
      <c r="C171" s="209"/>
      <c r="D171" s="209"/>
      <c r="E171" s="210"/>
      <c r="F171" s="211">
        <f>+F168+F170</f>
        <v>21667.27</v>
      </c>
      <c r="G171" s="60"/>
      <c r="H171" s="147"/>
      <c r="I171" s="82"/>
      <c r="J171" s="39"/>
    </row>
    <row r="172" spans="1:10" ht="15" customHeight="1" x14ac:dyDescent="0.25">
      <c r="A172" s="209"/>
      <c r="B172" s="209"/>
      <c r="C172" s="209"/>
      <c r="D172" s="209"/>
      <c r="E172" s="210"/>
      <c r="F172" s="212"/>
      <c r="G172" s="60"/>
      <c r="H172" s="147"/>
      <c r="I172" s="82"/>
      <c r="J172" s="39"/>
    </row>
    <row r="173" spans="1:10" ht="15" customHeight="1" x14ac:dyDescent="0.25">
      <c r="A173" s="148"/>
      <c r="B173" s="148"/>
      <c r="C173" s="148"/>
      <c r="D173" s="148"/>
      <c r="E173" s="149"/>
      <c r="F173" s="150"/>
      <c r="G173" s="60"/>
      <c r="H173" s="147"/>
      <c r="I173" s="82"/>
      <c r="J173" s="39"/>
    </row>
    <row r="174" spans="1:10" ht="15" customHeight="1" x14ac:dyDescent="0.25">
      <c r="A174" s="41" t="s">
        <v>78</v>
      </c>
      <c r="B174" s="39"/>
      <c r="C174" s="39"/>
      <c r="D174" s="39"/>
      <c r="E174" s="43"/>
      <c r="F174" s="60"/>
      <c r="G174" s="60"/>
      <c r="H174" s="82"/>
      <c r="I174" s="82"/>
      <c r="J174" s="39"/>
    </row>
    <row r="175" spans="1:10" ht="15" customHeight="1" x14ac:dyDescent="0.25">
      <c r="A175" s="40" t="s">
        <v>136</v>
      </c>
      <c r="B175" s="39"/>
      <c r="C175" s="39"/>
      <c r="D175" s="39"/>
      <c r="E175" s="43"/>
      <c r="F175" s="60">
        <f>-F171*0.165</f>
        <v>-3575.0995500000004</v>
      </c>
      <c r="G175" s="60"/>
      <c r="H175" s="82"/>
      <c r="I175" s="82"/>
      <c r="J175" s="39"/>
    </row>
    <row r="176" spans="1:10" ht="15" customHeight="1" x14ac:dyDescent="0.25">
      <c r="A176" s="47"/>
      <c r="B176" s="39"/>
      <c r="C176" s="39"/>
      <c r="D176" s="39"/>
      <c r="E176" s="52"/>
      <c r="F176" s="60"/>
      <c r="G176" s="60"/>
      <c r="H176" s="82"/>
      <c r="I176" s="82"/>
      <c r="J176" s="39"/>
    </row>
    <row r="177" spans="1:10" ht="15" customHeight="1" x14ac:dyDescent="0.25">
      <c r="A177" s="41" t="s">
        <v>79</v>
      </c>
      <c r="B177" s="39"/>
      <c r="C177" s="39"/>
      <c r="D177" s="39"/>
      <c r="E177" s="43"/>
      <c r="F177" s="60"/>
      <c r="G177" s="60"/>
      <c r="H177" s="82"/>
      <c r="I177" s="82"/>
      <c r="J177" s="39"/>
    </row>
    <row r="178" spans="1:10" ht="15" customHeight="1" x14ac:dyDescent="0.25">
      <c r="A178" s="42" t="s">
        <v>97</v>
      </c>
      <c r="B178" s="39"/>
      <c r="C178" s="39"/>
      <c r="D178" s="39"/>
      <c r="E178" s="43"/>
      <c r="F178" s="60">
        <f>+G201</f>
        <v>-558.25</v>
      </c>
      <c r="G178" s="163" t="s">
        <v>153</v>
      </c>
      <c r="H178" s="82"/>
      <c r="I178" s="82"/>
      <c r="J178" s="39"/>
    </row>
    <row r="179" spans="1:10" ht="15" customHeight="1" x14ac:dyDescent="0.25">
      <c r="A179" s="67" t="s">
        <v>165</v>
      </c>
      <c r="B179" s="39"/>
      <c r="C179" s="39"/>
      <c r="D179" s="39"/>
      <c r="E179" s="43"/>
      <c r="F179" s="60"/>
      <c r="G179" s="60"/>
      <c r="H179" s="82"/>
      <c r="I179" s="82"/>
      <c r="J179" s="39"/>
    </row>
    <row r="180" spans="1:10" ht="15" customHeight="1" x14ac:dyDescent="0.25">
      <c r="A180" s="41"/>
      <c r="B180" s="39"/>
      <c r="C180" s="39"/>
      <c r="D180" s="39"/>
      <c r="E180" s="52" t="s">
        <v>82</v>
      </c>
      <c r="F180" s="61">
        <f>SUM(F171:F179)</f>
        <v>17533.920450000001</v>
      </c>
      <c r="G180" s="61"/>
      <c r="H180" s="129" t="str">
        <f>+E180</f>
        <v>Impôt payable</v>
      </c>
      <c r="I180" s="82"/>
      <c r="J180" s="39"/>
    </row>
    <row r="181" spans="1:10" ht="15" customHeight="1" x14ac:dyDescent="0.25">
      <c r="A181" s="41"/>
      <c r="B181" s="39"/>
      <c r="C181" s="39"/>
      <c r="D181" s="39"/>
      <c r="E181" s="52"/>
      <c r="F181" s="60"/>
      <c r="G181" s="60"/>
      <c r="H181" s="82"/>
      <c r="I181" s="82"/>
      <c r="J181" s="39"/>
    </row>
    <row r="182" spans="1:10" ht="15" customHeight="1" x14ac:dyDescent="0.25">
      <c r="A182" s="41" t="s">
        <v>80</v>
      </c>
      <c r="B182" s="39"/>
      <c r="C182" s="39"/>
      <c r="D182" s="39"/>
      <c r="E182" s="43"/>
      <c r="F182" s="60"/>
      <c r="G182" s="60"/>
      <c r="H182" s="82"/>
      <c r="I182" s="82"/>
      <c r="J182" s="39"/>
    </row>
    <row r="183" spans="1:10" ht="15" customHeight="1" x14ac:dyDescent="0.25">
      <c r="A183" s="1" t="s">
        <v>81</v>
      </c>
      <c r="B183" s="39"/>
      <c r="C183" s="39"/>
      <c r="D183" s="39"/>
      <c r="E183" s="43"/>
      <c r="F183" s="60">
        <v>-26000</v>
      </c>
      <c r="G183" s="60"/>
      <c r="H183" s="82"/>
      <c r="I183" s="82"/>
      <c r="J183" s="39"/>
    </row>
    <row r="184" spans="1:10" ht="15" customHeight="1" x14ac:dyDescent="0.25">
      <c r="A184" s="41"/>
      <c r="B184" s="39"/>
      <c r="C184" s="39"/>
      <c r="D184" s="39"/>
      <c r="E184" s="43"/>
      <c r="F184" s="66"/>
      <c r="G184" s="66"/>
      <c r="H184" s="82"/>
      <c r="I184" s="82"/>
      <c r="J184" s="39"/>
    </row>
    <row r="185" spans="1:10" ht="15" customHeight="1" thickBot="1" x14ac:dyDescent="0.3">
      <c r="A185" s="180"/>
      <c r="B185" s="187"/>
      <c r="C185" s="187"/>
      <c r="D185" s="180"/>
      <c r="E185" s="188" t="s">
        <v>66</v>
      </c>
      <c r="F185" s="189">
        <f>SUM(F180:F184)</f>
        <v>-8466.0795499999986</v>
      </c>
      <c r="G185" s="189"/>
      <c r="H185" s="129" t="str">
        <f>+E185</f>
        <v>SOLDE DÛ (ou remboursement)</v>
      </c>
      <c r="I185" s="83"/>
      <c r="J185" s="39"/>
    </row>
    <row r="186" spans="1:10" ht="15" customHeight="1" thickTop="1" x14ac:dyDescent="0.25">
      <c r="H186" s="58"/>
      <c r="I186" s="84"/>
    </row>
    <row r="187" spans="1:10" ht="15" customHeight="1" x14ac:dyDescent="0.25">
      <c r="A187" s="137"/>
      <c r="B187" s="138"/>
      <c r="C187" s="139"/>
      <c r="D187" s="139"/>
      <c r="E187" s="140" t="s">
        <v>134</v>
      </c>
      <c r="F187" s="138"/>
      <c r="G187" s="141"/>
      <c r="H187" s="58"/>
      <c r="I187" s="84"/>
    </row>
    <row r="188" spans="1:10" ht="15" customHeight="1" x14ac:dyDescent="0.25">
      <c r="A188" s="151"/>
      <c r="B188" s="152"/>
      <c r="C188" s="153"/>
      <c r="D188" s="153"/>
      <c r="E188" s="155" t="s">
        <v>133</v>
      </c>
      <c r="F188" s="152"/>
      <c r="G188" s="154">
        <f>+G84</f>
        <v>29668.658999999971</v>
      </c>
      <c r="H188" s="58"/>
      <c r="I188" s="84"/>
    </row>
    <row r="189" spans="1:10" ht="15" customHeight="1" x14ac:dyDescent="0.25">
      <c r="A189" s="156"/>
      <c r="B189" s="157"/>
      <c r="C189" s="158"/>
      <c r="D189" s="158"/>
      <c r="E189" s="161" t="s">
        <v>139</v>
      </c>
      <c r="F189" s="157"/>
      <c r="G189" s="159">
        <f>+F170</f>
        <v>-28607.580000000013</v>
      </c>
      <c r="H189" s="58"/>
      <c r="I189" s="84"/>
    </row>
    <row r="190" spans="1:10" ht="15" customHeight="1" x14ac:dyDescent="0.25">
      <c r="A190" s="142"/>
      <c r="B190" s="143"/>
      <c r="C190" s="143"/>
      <c r="D190" s="143"/>
      <c r="E190" s="144" t="s">
        <v>135</v>
      </c>
      <c r="F190" s="145"/>
      <c r="G190" s="160">
        <f>+G188+G189</f>
        <v>1061.0789999999579</v>
      </c>
      <c r="H190" s="58"/>
      <c r="I190" s="84"/>
    </row>
    <row r="191" spans="1:10" ht="15" hidden="1" customHeight="1" x14ac:dyDescent="0.25">
      <c r="H191" s="58"/>
      <c r="I191" s="84"/>
    </row>
    <row r="192" spans="1:10" ht="15" hidden="1" customHeight="1" x14ac:dyDescent="0.25">
      <c r="A192" s="1" t="s">
        <v>166</v>
      </c>
    </row>
    <row r="193" spans="1:7" ht="15" hidden="1" customHeight="1" x14ac:dyDescent="0.25">
      <c r="A193" s="201" t="s">
        <v>138</v>
      </c>
      <c r="B193" s="202"/>
      <c r="C193" s="202"/>
      <c r="D193" s="202"/>
      <c r="E193" s="205">
        <v>1000</v>
      </c>
      <c r="F193" s="105"/>
      <c r="G193" s="106"/>
    </row>
    <row r="194" spans="1:7" ht="15" hidden="1" customHeight="1" x14ac:dyDescent="0.25">
      <c r="A194" s="203"/>
      <c r="B194" s="204"/>
      <c r="C194" s="204"/>
      <c r="D194" s="204"/>
      <c r="E194" s="206"/>
      <c r="G194" s="108"/>
    </row>
    <row r="195" spans="1:7" ht="15" hidden="1" customHeight="1" x14ac:dyDescent="0.25">
      <c r="A195" s="107"/>
      <c r="B195" s="121"/>
      <c r="C195" s="65"/>
      <c r="D195" s="56"/>
      <c r="E195" s="108"/>
      <c r="F195" s="119" t="s">
        <v>107</v>
      </c>
      <c r="G195" s="108"/>
    </row>
    <row r="196" spans="1:7" ht="15" hidden="1" customHeight="1" x14ac:dyDescent="0.25">
      <c r="A196" s="109" t="s">
        <v>115</v>
      </c>
      <c r="B196" s="45"/>
      <c r="C196" s="21"/>
      <c r="D196" s="21"/>
      <c r="E196" s="110">
        <v>400</v>
      </c>
      <c r="F196" s="56">
        <v>0.75</v>
      </c>
      <c r="G196" s="108">
        <f>-E196*F196</f>
        <v>-300</v>
      </c>
    </row>
    <row r="197" spans="1:7" ht="15" hidden="1" customHeight="1" x14ac:dyDescent="0.25">
      <c r="A197" s="107"/>
      <c r="B197" s="121"/>
      <c r="C197" s="21"/>
      <c r="D197" s="21"/>
      <c r="E197" s="111"/>
      <c r="F197" s="56"/>
      <c r="G197" s="108"/>
    </row>
    <row r="198" spans="1:7" ht="15" hidden="1" customHeight="1" x14ac:dyDescent="0.25">
      <c r="A198" s="109" t="s">
        <v>116</v>
      </c>
      <c r="B198" s="45"/>
      <c r="C198" s="21"/>
      <c r="D198" s="21"/>
      <c r="E198" s="112">
        <f>750-400</f>
        <v>350</v>
      </c>
      <c r="F198" s="56">
        <v>0.5</v>
      </c>
      <c r="G198" s="108">
        <f>-E198*F198</f>
        <v>-175</v>
      </c>
    </row>
    <row r="199" spans="1:7" ht="15" hidden="1" customHeight="1" x14ac:dyDescent="0.25">
      <c r="A199" s="107"/>
      <c r="B199" s="121"/>
      <c r="C199" s="21"/>
      <c r="D199" s="21"/>
      <c r="E199" s="111"/>
      <c r="F199" s="56"/>
      <c r="G199" s="108"/>
    </row>
    <row r="200" spans="1:7" ht="15" hidden="1" customHeight="1" x14ac:dyDescent="0.25">
      <c r="A200" s="109" t="s">
        <v>117</v>
      </c>
      <c r="B200" s="121"/>
      <c r="C200" s="21"/>
      <c r="D200" s="21"/>
      <c r="E200" s="114">
        <f>+E193-E196-E198</f>
        <v>250</v>
      </c>
      <c r="F200" s="57">
        <v>0.33300000000000002</v>
      </c>
      <c r="G200" s="115">
        <f>-E200*F200</f>
        <v>-83.25</v>
      </c>
    </row>
    <row r="201" spans="1:7" ht="15" hidden="1" customHeight="1" x14ac:dyDescent="0.25">
      <c r="A201" s="116"/>
      <c r="B201" s="117"/>
      <c r="C201" s="122"/>
      <c r="D201" s="122"/>
      <c r="E201" s="117"/>
      <c r="F201" s="118" t="s">
        <v>105</v>
      </c>
      <c r="G201" s="123">
        <f>SUM(G196:G200)</f>
        <v>-558.25</v>
      </c>
    </row>
    <row r="202" spans="1:7" ht="15" hidden="1" customHeight="1" x14ac:dyDescent="0.25"/>
    <row r="204" spans="1:7" ht="15" customHeight="1" x14ac:dyDescent="0.25">
      <c r="A204" s="164"/>
    </row>
  </sheetData>
  <mergeCells count="18">
    <mergeCell ref="H152:I166"/>
    <mergeCell ref="A169:E170"/>
    <mergeCell ref="A171:E172"/>
    <mergeCell ref="F171:F172"/>
    <mergeCell ref="A193:D194"/>
    <mergeCell ref="E193:E194"/>
    <mergeCell ref="H138:I138"/>
    <mergeCell ref="A5:I5"/>
    <mergeCell ref="H22:I22"/>
    <mergeCell ref="H23:I23"/>
    <mergeCell ref="H24:I24"/>
    <mergeCell ref="H38:I63"/>
    <mergeCell ref="A87:I94"/>
    <mergeCell ref="A110:D111"/>
    <mergeCell ref="E110:E111"/>
    <mergeCell ref="A121:I121"/>
    <mergeCell ref="H136:I136"/>
    <mergeCell ref="H137:I137"/>
  </mergeCells>
  <pageMargins left="0.98425196850393704" right="0.98425196850393704" top="0.98425196850393704" bottom="0.98425196850393704" header="0.51181102362204722" footer="0.51181102362204722"/>
  <pageSetup scale="81" fitToHeight="0" orientation="portrait" r:id="rId1"/>
  <headerFooter alignWithMargins="0"/>
  <rowBreaks count="5" manualBreakCount="5">
    <brk id="26" max="8" man="1"/>
    <brk id="82" max="8" man="1"/>
    <brk id="120" max="16383" man="1"/>
    <brk id="140" max="8" man="1"/>
    <brk id="191" max="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1"/>
  <sheetViews>
    <sheetView workbookViewId="0"/>
  </sheetViews>
  <sheetFormatPr baseColWidth="10" defaultRowHeight="15" x14ac:dyDescent="0.25"/>
  <cols>
    <col min="1" max="1" width="6.21875" style="7" customWidth="1"/>
    <col min="2" max="3" width="11.5546875" style="8"/>
    <col min="4" max="4" width="19.5546875" style="8" customWidth="1"/>
    <col min="5" max="5" width="10.6640625" style="8" customWidth="1"/>
    <col min="6" max="6" width="13.33203125" style="9" customWidth="1"/>
    <col min="7" max="7" width="2.33203125" style="8" customWidth="1"/>
    <col min="8" max="16384" width="11.5546875" style="8"/>
  </cols>
  <sheetData>
    <row r="1" spans="1:6" ht="18.75" x14ac:dyDescent="0.3">
      <c r="B1" s="3"/>
      <c r="C1" s="3"/>
      <c r="D1" s="3"/>
      <c r="E1" s="3"/>
      <c r="F1" s="3"/>
    </row>
    <row r="2" spans="1:6" ht="18.75" x14ac:dyDescent="0.3">
      <c r="B2" s="3"/>
      <c r="C2" s="3"/>
      <c r="D2" s="3"/>
      <c r="E2" s="3"/>
      <c r="F2" s="3"/>
    </row>
    <row r="3" spans="1:6" ht="15.75" x14ac:dyDescent="0.25">
      <c r="A3" s="5" t="s">
        <v>16</v>
      </c>
      <c r="B3" s="1"/>
      <c r="C3" s="1"/>
      <c r="D3" s="1"/>
      <c r="E3" s="1"/>
      <c r="F3" s="2"/>
    </row>
    <row r="4" spans="1:6" ht="15.75" x14ac:dyDescent="0.25">
      <c r="B4" s="4" t="s">
        <v>14</v>
      </c>
      <c r="C4" s="4"/>
      <c r="D4" s="4"/>
      <c r="E4" s="4"/>
      <c r="F4" s="4">
        <v>42961</v>
      </c>
    </row>
    <row r="5" spans="1:6" ht="15.75" x14ac:dyDescent="0.25">
      <c r="A5" s="13" t="s">
        <v>12</v>
      </c>
      <c r="C5" s="4"/>
      <c r="D5" s="4"/>
      <c r="E5" s="4"/>
      <c r="F5" s="4"/>
    </row>
    <row r="6" spans="1:6" ht="15.75" x14ac:dyDescent="0.25">
      <c r="A6" s="35" t="s">
        <v>42</v>
      </c>
      <c r="B6" s="4" t="s">
        <v>0</v>
      </c>
      <c r="C6" s="4"/>
      <c r="D6" s="4"/>
      <c r="E6" s="4">
        <v>12131</v>
      </c>
      <c r="F6" s="36"/>
    </row>
    <row r="7" spans="1:6" ht="15.75" x14ac:dyDescent="0.25">
      <c r="B7" s="4" t="s">
        <v>38</v>
      </c>
      <c r="C7" s="4"/>
      <c r="D7" s="4"/>
      <c r="E7" s="27">
        <v>24588</v>
      </c>
      <c r="F7" s="4"/>
    </row>
    <row r="8" spans="1:6" ht="15.75" x14ac:dyDescent="0.25">
      <c r="B8" s="4" t="s">
        <v>30</v>
      </c>
      <c r="C8" s="4"/>
      <c r="D8" s="4"/>
      <c r="E8" s="4">
        <v>1000</v>
      </c>
      <c r="F8" s="4"/>
    </row>
    <row r="9" spans="1:6" ht="15.75" x14ac:dyDescent="0.25">
      <c r="B9" s="4" t="s">
        <v>1</v>
      </c>
      <c r="C9" s="4"/>
      <c r="D9" s="4"/>
      <c r="E9" s="4">
        <v>537</v>
      </c>
      <c r="F9" s="4"/>
    </row>
    <row r="10" spans="1:6" ht="15.75" x14ac:dyDescent="0.25">
      <c r="B10" s="4" t="s">
        <v>5</v>
      </c>
      <c r="C10" s="4"/>
      <c r="D10" s="4"/>
      <c r="E10" s="34">
        <v>470</v>
      </c>
      <c r="F10" s="4"/>
    </row>
    <row r="11" spans="1:6" ht="15.75" x14ac:dyDescent="0.25">
      <c r="B11" s="4" t="s">
        <v>31</v>
      </c>
      <c r="C11" s="4"/>
      <c r="D11" s="4"/>
      <c r="E11" s="4">
        <v>5845</v>
      </c>
      <c r="F11" s="4"/>
    </row>
    <row r="12" spans="1:6" ht="15.75" x14ac:dyDescent="0.25">
      <c r="B12" s="4" t="s">
        <v>6</v>
      </c>
      <c r="C12" s="4"/>
      <c r="D12" s="4"/>
      <c r="E12" s="30">
        <v>3772</v>
      </c>
      <c r="F12" s="4"/>
    </row>
    <row r="13" spans="1:6" ht="15.75" x14ac:dyDescent="0.25">
      <c r="B13" s="4" t="s">
        <v>35</v>
      </c>
      <c r="C13" s="4"/>
      <c r="D13" s="4"/>
      <c r="E13" s="4">
        <v>620</v>
      </c>
      <c r="F13" s="4"/>
    </row>
    <row r="14" spans="1:6" ht="15.75" x14ac:dyDescent="0.25">
      <c r="B14" s="4" t="s">
        <v>8</v>
      </c>
      <c r="C14" s="4"/>
      <c r="D14" s="4"/>
      <c r="E14" s="33">
        <f>+E46</f>
        <v>422.2800000000002</v>
      </c>
      <c r="F14" s="29" t="s">
        <v>28</v>
      </c>
    </row>
    <row r="15" spans="1:6" ht="15.75" x14ac:dyDescent="0.25">
      <c r="B15" s="4" t="s">
        <v>36</v>
      </c>
      <c r="C15" s="4"/>
      <c r="D15" s="4"/>
      <c r="E15" s="4">
        <v>8856</v>
      </c>
      <c r="F15" s="4"/>
    </row>
    <row r="16" spans="1:6" ht="15.75" x14ac:dyDescent="0.25">
      <c r="B16" s="4" t="s">
        <v>9</v>
      </c>
      <c r="C16" s="4"/>
      <c r="D16" s="4"/>
      <c r="E16" s="4">
        <v>350</v>
      </c>
      <c r="F16" s="4"/>
    </row>
    <row r="17" spans="1:6" ht="15.75" x14ac:dyDescent="0.25">
      <c r="B17" s="4" t="s">
        <v>32</v>
      </c>
      <c r="C17" s="4"/>
      <c r="D17" s="4"/>
      <c r="E17" s="11">
        <v>3920</v>
      </c>
      <c r="F17" s="4">
        <f>SUM(E6:E17)</f>
        <v>62511.28</v>
      </c>
    </row>
    <row r="18" spans="1:6" ht="15.75" x14ac:dyDescent="0.25">
      <c r="A18" s="13" t="s">
        <v>13</v>
      </c>
      <c r="B18" s="6"/>
      <c r="C18" s="4"/>
      <c r="D18" s="4"/>
      <c r="E18" s="4"/>
      <c r="F18" s="4"/>
    </row>
    <row r="19" spans="1:6" ht="15.75" x14ac:dyDescent="0.25">
      <c r="A19" s="35" t="s">
        <v>43</v>
      </c>
      <c r="B19" s="4" t="s">
        <v>2</v>
      </c>
      <c r="C19" s="4"/>
      <c r="D19" s="4"/>
      <c r="E19" s="4">
        <v>-3658</v>
      </c>
      <c r="F19" s="4"/>
    </row>
    <row r="20" spans="1:6" ht="15.75" x14ac:dyDescent="0.25">
      <c r="B20" s="4" t="s">
        <v>37</v>
      </c>
      <c r="C20" s="4"/>
      <c r="D20" s="4"/>
      <c r="E20" s="27">
        <v>-12650</v>
      </c>
      <c r="F20" s="4"/>
    </row>
    <row r="21" spans="1:6" ht="15.75" x14ac:dyDescent="0.25">
      <c r="B21" s="4" t="s">
        <v>29</v>
      </c>
      <c r="C21" s="4"/>
      <c r="D21" s="4"/>
      <c r="E21" s="34">
        <v>-5400</v>
      </c>
      <c r="F21" s="4">
        <f>SUM(E19:E21)</f>
        <v>-21708</v>
      </c>
    </row>
    <row r="23" spans="1:6" ht="16.5" thickBot="1" x14ac:dyDescent="0.3">
      <c r="B23" s="1" t="s">
        <v>15</v>
      </c>
      <c r="F23" s="12">
        <f>SUM(F4:F21)</f>
        <v>83764.28</v>
      </c>
    </row>
    <row r="24" spans="1:6" ht="16.5" thickTop="1" x14ac:dyDescent="0.25">
      <c r="B24" s="1"/>
      <c r="F24" s="14"/>
    </row>
    <row r="25" spans="1:6" x14ac:dyDescent="0.25">
      <c r="F25" s="10"/>
    </row>
    <row r="26" spans="1:6" ht="15.75" x14ac:dyDescent="0.25">
      <c r="A26" s="5" t="s">
        <v>17</v>
      </c>
    </row>
    <row r="27" spans="1:6" ht="16.5" thickBot="1" x14ac:dyDescent="0.3">
      <c r="B27" s="1" t="s">
        <v>33</v>
      </c>
      <c r="C27" s="1"/>
      <c r="D27" s="1"/>
      <c r="E27" s="1"/>
      <c r="F27" s="12">
        <v>3658</v>
      </c>
    </row>
    <row r="28" spans="1:6" ht="16.5" thickTop="1" x14ac:dyDescent="0.25">
      <c r="B28" s="28" t="s">
        <v>34</v>
      </c>
    </row>
    <row r="31" spans="1:6" ht="15.75" x14ac:dyDescent="0.25">
      <c r="A31" s="15" t="s">
        <v>18</v>
      </c>
      <c r="B31" s="1"/>
      <c r="C31" s="1"/>
      <c r="D31" s="1"/>
      <c r="E31" s="1"/>
      <c r="F31" s="2"/>
    </row>
    <row r="32" spans="1:6" ht="15.75" x14ac:dyDescent="0.25">
      <c r="A32" s="1" t="s">
        <v>22</v>
      </c>
      <c r="B32" s="1"/>
      <c r="C32" s="1"/>
      <c r="D32" s="1"/>
      <c r="E32" s="1"/>
      <c r="F32" s="2"/>
    </row>
    <row r="33" spans="1:6" ht="15.75" x14ac:dyDescent="0.25">
      <c r="A33" s="1" t="s">
        <v>7</v>
      </c>
      <c r="B33" s="1"/>
      <c r="C33" s="1"/>
      <c r="D33" s="1"/>
      <c r="E33" s="30">
        <f>5029*9/12</f>
        <v>3771.75</v>
      </c>
      <c r="F33" s="2"/>
    </row>
    <row r="34" spans="1:6" ht="15.75" x14ac:dyDescent="0.25">
      <c r="A34" s="1"/>
      <c r="B34" s="1"/>
      <c r="C34" s="1"/>
      <c r="D34" s="1"/>
      <c r="E34" s="4"/>
      <c r="F34" s="2"/>
    </row>
    <row r="35" spans="1:6" ht="15.75" x14ac:dyDescent="0.25">
      <c r="A35" s="15" t="s">
        <v>19</v>
      </c>
      <c r="B35" s="1"/>
      <c r="C35" s="1"/>
      <c r="D35" s="1"/>
      <c r="E35" s="4"/>
      <c r="F35" s="2"/>
    </row>
    <row r="36" spans="1:6" ht="15.75" x14ac:dyDescent="0.25">
      <c r="A36" s="221" t="s">
        <v>23</v>
      </c>
      <c r="B36" s="221"/>
      <c r="C36" s="221"/>
      <c r="D36" s="221"/>
      <c r="E36" s="221"/>
      <c r="F36" s="2"/>
    </row>
    <row r="37" spans="1:6" ht="15.75" x14ac:dyDescent="0.25">
      <c r="A37" s="221"/>
      <c r="B37" s="221"/>
      <c r="C37" s="221"/>
      <c r="D37" s="221"/>
      <c r="E37" s="221"/>
      <c r="F37" s="2"/>
    </row>
    <row r="38" spans="1:6" ht="15.75" x14ac:dyDescent="0.25">
      <c r="A38" s="16"/>
      <c r="B38" s="16"/>
      <c r="C38" s="16"/>
      <c r="D38" s="16"/>
      <c r="E38" s="16"/>
      <c r="F38" s="2"/>
    </row>
    <row r="39" spans="1:6" ht="15.75" x14ac:dyDescent="0.25">
      <c r="A39" s="15" t="s">
        <v>20</v>
      </c>
      <c r="B39" s="1"/>
      <c r="C39" s="1"/>
      <c r="D39" s="1"/>
      <c r="E39" s="1"/>
      <c r="F39" s="2"/>
    </row>
    <row r="40" spans="1:6" ht="15.75" x14ac:dyDescent="0.25">
      <c r="A40" s="1" t="s">
        <v>25</v>
      </c>
      <c r="B40" s="1"/>
      <c r="C40" s="1"/>
      <c r="D40" s="1"/>
      <c r="E40" s="1"/>
      <c r="F40" s="2"/>
    </row>
    <row r="41" spans="1:6" ht="15.75" x14ac:dyDescent="0.25">
      <c r="A41" s="1" t="s">
        <v>26</v>
      </c>
      <c r="B41" s="1"/>
      <c r="C41" s="1"/>
      <c r="D41" s="1"/>
      <c r="E41" s="1"/>
      <c r="F41" s="2"/>
    </row>
    <row r="42" spans="1:6" ht="15.75" x14ac:dyDescent="0.25">
      <c r="A42" s="1" t="s">
        <v>3</v>
      </c>
      <c r="B42" s="1"/>
      <c r="C42" s="1"/>
      <c r="D42" s="1"/>
      <c r="E42" s="4">
        <v>1863</v>
      </c>
      <c r="F42" s="26" t="s">
        <v>40</v>
      </c>
    </row>
    <row r="43" spans="1:6" ht="15.75" x14ac:dyDescent="0.25">
      <c r="A43" s="17" t="s">
        <v>24</v>
      </c>
      <c r="B43" s="18"/>
      <c r="C43" s="18"/>
      <c r="D43" s="18"/>
      <c r="E43" s="19"/>
      <c r="F43" s="2"/>
    </row>
    <row r="44" spans="1:6" ht="15.75" x14ac:dyDescent="0.25">
      <c r="A44" s="20"/>
      <c r="B44" s="21" t="s">
        <v>41</v>
      </c>
      <c r="C44" s="21"/>
      <c r="D44" s="21"/>
      <c r="E44" s="22"/>
      <c r="F44" s="32">
        <f>1863/0.75</f>
        <v>2484</v>
      </c>
    </row>
    <row r="45" spans="1:6" ht="15.75" x14ac:dyDescent="0.25">
      <c r="A45" s="23"/>
      <c r="B45" s="24" t="s">
        <v>44</v>
      </c>
      <c r="C45" s="24"/>
      <c r="D45" s="24"/>
      <c r="E45" s="25">
        <f>-F44*0.58</f>
        <v>-1440.7199999999998</v>
      </c>
      <c r="F45" s="26" t="s">
        <v>27</v>
      </c>
    </row>
    <row r="46" spans="1:6" ht="16.5" thickBot="1" x14ac:dyDescent="0.3">
      <c r="A46" s="1" t="s">
        <v>4</v>
      </c>
      <c r="B46" s="1"/>
      <c r="C46" s="1"/>
      <c r="D46" s="1"/>
      <c r="E46" s="31">
        <f>SUM(E42:E45)</f>
        <v>422.2800000000002</v>
      </c>
      <c r="F46" s="26" t="s">
        <v>28</v>
      </c>
    </row>
    <row r="47" spans="1:6" ht="16.5" thickTop="1" x14ac:dyDescent="0.25">
      <c r="A47" s="1"/>
      <c r="B47" s="1"/>
      <c r="C47" s="1"/>
      <c r="D47" s="1"/>
      <c r="E47" s="1"/>
      <c r="F47" s="2"/>
    </row>
    <row r="48" spans="1:6" ht="15.75" x14ac:dyDescent="0.25">
      <c r="A48" s="15" t="s">
        <v>21</v>
      </c>
      <c r="B48" s="1"/>
      <c r="C48" s="1"/>
      <c r="D48" s="1"/>
      <c r="E48" s="1"/>
      <c r="F48" s="2"/>
    </row>
    <row r="49" spans="1:6" ht="15.75" x14ac:dyDescent="0.25">
      <c r="A49" s="1" t="s">
        <v>10</v>
      </c>
      <c r="B49" s="1"/>
      <c r="C49" s="1"/>
      <c r="D49" s="1"/>
      <c r="E49" s="1"/>
      <c r="F49" s="2"/>
    </row>
    <row r="50" spans="1:6" ht="15.75" x14ac:dyDescent="0.25">
      <c r="A50" s="1" t="s">
        <v>11</v>
      </c>
      <c r="B50" s="1"/>
      <c r="C50" s="1"/>
      <c r="D50" s="1"/>
      <c r="E50" s="1"/>
      <c r="F50" s="2"/>
    </row>
    <row r="51" spans="1:6" ht="15.75" x14ac:dyDescent="0.25">
      <c r="A51" s="1" t="s">
        <v>39</v>
      </c>
      <c r="B51" s="1"/>
      <c r="C51" s="1"/>
      <c r="D51" s="1"/>
      <c r="E51" s="1"/>
      <c r="F51" s="2"/>
    </row>
    <row r="52" spans="1:6" ht="15.75" x14ac:dyDescent="0.25">
      <c r="A52" s="1"/>
      <c r="B52" s="1"/>
      <c r="C52" s="1"/>
      <c r="D52" s="1"/>
      <c r="E52" s="1"/>
      <c r="F52" s="2"/>
    </row>
    <row r="53" spans="1:6" ht="15.75" x14ac:dyDescent="0.25">
      <c r="A53" s="1"/>
      <c r="B53" s="1"/>
      <c r="C53" s="1"/>
      <c r="D53" s="1"/>
      <c r="E53" s="1"/>
      <c r="F53" s="2"/>
    </row>
    <row r="54" spans="1:6" ht="15.75" x14ac:dyDescent="0.25">
      <c r="A54" s="1"/>
      <c r="B54" s="1"/>
      <c r="C54" s="1"/>
      <c r="D54" s="1"/>
      <c r="E54" s="1"/>
      <c r="F54" s="2"/>
    </row>
    <row r="55" spans="1:6" ht="15.75" x14ac:dyDescent="0.25">
      <c r="A55" s="1"/>
      <c r="B55" s="1"/>
      <c r="C55" s="1"/>
      <c r="D55" s="1"/>
      <c r="E55" s="1"/>
      <c r="F55" s="2"/>
    </row>
    <row r="56" spans="1:6" ht="15.75" x14ac:dyDescent="0.25">
      <c r="A56" s="1"/>
      <c r="B56" s="1"/>
      <c r="C56" s="1"/>
      <c r="D56" s="1"/>
      <c r="E56" s="1"/>
      <c r="F56" s="2"/>
    </row>
    <row r="57" spans="1:6" ht="15.75" x14ac:dyDescent="0.25">
      <c r="A57" s="1"/>
      <c r="B57" s="1"/>
      <c r="C57" s="1"/>
      <c r="D57" s="1"/>
      <c r="E57" s="1"/>
      <c r="F57" s="2"/>
    </row>
    <row r="58" spans="1:6" ht="15.75" x14ac:dyDescent="0.25">
      <c r="A58" s="1"/>
      <c r="B58" s="1"/>
      <c r="C58" s="1"/>
      <c r="D58" s="1"/>
      <c r="E58" s="1"/>
      <c r="F58" s="2"/>
    </row>
    <row r="59" spans="1:6" ht="15.75" x14ac:dyDescent="0.25">
      <c r="A59" s="1"/>
      <c r="B59" s="1"/>
      <c r="C59" s="1"/>
      <c r="D59" s="1"/>
      <c r="E59" s="1"/>
      <c r="F59" s="2"/>
    </row>
    <row r="60" spans="1:6" ht="15.75" x14ac:dyDescent="0.25">
      <c r="A60" s="1"/>
      <c r="B60" s="1"/>
      <c r="C60" s="1"/>
      <c r="D60" s="1"/>
      <c r="E60" s="1"/>
      <c r="F60" s="2"/>
    </row>
    <row r="61" spans="1:6" ht="15.75" x14ac:dyDescent="0.25">
      <c r="A61" s="1"/>
      <c r="B61" s="1"/>
      <c r="C61" s="1"/>
      <c r="D61" s="1"/>
      <c r="E61" s="1"/>
      <c r="F61" s="2"/>
    </row>
    <row r="62" spans="1:6" ht="15.75" x14ac:dyDescent="0.25">
      <c r="A62" s="1"/>
      <c r="B62" s="1"/>
      <c r="C62" s="1"/>
      <c r="D62" s="1"/>
      <c r="E62" s="1"/>
      <c r="F62" s="2"/>
    </row>
    <row r="63" spans="1:6" ht="15.75" x14ac:dyDescent="0.25">
      <c r="A63" s="1"/>
      <c r="B63" s="1"/>
      <c r="C63" s="1"/>
      <c r="D63" s="1"/>
      <c r="E63" s="1"/>
      <c r="F63" s="2"/>
    </row>
    <row r="64" spans="1:6" ht="15.75" x14ac:dyDescent="0.25">
      <c r="A64" s="1"/>
      <c r="B64" s="1"/>
      <c r="C64" s="1"/>
      <c r="D64" s="1"/>
      <c r="E64" s="1"/>
      <c r="F64" s="2"/>
    </row>
    <row r="65" spans="1:6" ht="15.75" x14ac:dyDescent="0.25">
      <c r="A65" s="1"/>
      <c r="B65" s="1"/>
      <c r="C65" s="1"/>
      <c r="D65" s="1"/>
      <c r="E65" s="1"/>
      <c r="F65" s="2"/>
    </row>
    <row r="66" spans="1:6" ht="15.75" x14ac:dyDescent="0.25">
      <c r="A66" s="1"/>
      <c r="B66" s="1"/>
      <c r="C66" s="1"/>
      <c r="D66" s="1"/>
      <c r="E66" s="1"/>
      <c r="F66" s="2"/>
    </row>
    <row r="67" spans="1:6" ht="15.75" x14ac:dyDescent="0.25">
      <c r="A67" s="1"/>
      <c r="B67" s="1"/>
      <c r="C67" s="1"/>
      <c r="D67" s="1"/>
      <c r="E67" s="1"/>
      <c r="F67" s="2"/>
    </row>
    <row r="68" spans="1:6" ht="15.75" x14ac:dyDescent="0.25">
      <c r="A68" s="1"/>
      <c r="B68" s="1"/>
      <c r="C68" s="1"/>
      <c r="D68" s="1"/>
      <c r="E68" s="1"/>
      <c r="F68" s="2"/>
    </row>
    <row r="69" spans="1:6" ht="15.75" x14ac:dyDescent="0.25">
      <c r="A69" s="1"/>
      <c r="B69" s="1"/>
      <c r="C69" s="1"/>
      <c r="D69" s="1"/>
      <c r="E69" s="1"/>
      <c r="F69" s="2"/>
    </row>
    <row r="70" spans="1:6" ht="15.75" x14ac:dyDescent="0.25">
      <c r="A70" s="1"/>
      <c r="B70" s="1"/>
      <c r="C70" s="1"/>
      <c r="D70" s="1"/>
      <c r="E70" s="1"/>
      <c r="F70" s="2"/>
    </row>
    <row r="71" spans="1:6" ht="15.75" x14ac:dyDescent="0.25">
      <c r="A71" s="1"/>
      <c r="B71" s="1"/>
      <c r="C71" s="1"/>
      <c r="D71" s="1"/>
      <c r="E71" s="1"/>
      <c r="F71" s="2"/>
    </row>
    <row r="72" spans="1:6" ht="15.75" x14ac:dyDescent="0.25">
      <c r="A72" s="1"/>
      <c r="B72" s="1"/>
      <c r="C72" s="1"/>
      <c r="D72" s="1"/>
      <c r="E72" s="1"/>
      <c r="F72" s="2"/>
    </row>
    <row r="73" spans="1:6" ht="15.75" x14ac:dyDescent="0.25">
      <c r="A73" s="1"/>
      <c r="B73" s="1"/>
      <c r="C73" s="1"/>
      <c r="D73" s="1"/>
      <c r="E73" s="1"/>
      <c r="F73" s="2"/>
    </row>
    <row r="74" spans="1:6" ht="15.75" x14ac:dyDescent="0.25">
      <c r="A74" s="1"/>
      <c r="B74" s="1"/>
      <c r="C74" s="1"/>
      <c r="D74" s="1"/>
      <c r="E74" s="1"/>
      <c r="F74" s="2"/>
    </row>
    <row r="75" spans="1:6" ht="15.75" x14ac:dyDescent="0.25">
      <c r="A75" s="1"/>
      <c r="B75" s="1"/>
      <c r="C75" s="1"/>
      <c r="D75" s="1"/>
      <c r="E75" s="1"/>
      <c r="F75" s="2"/>
    </row>
    <row r="76" spans="1:6" ht="15.75" x14ac:dyDescent="0.25">
      <c r="A76" s="1"/>
      <c r="B76" s="1"/>
      <c r="C76" s="1"/>
      <c r="D76" s="1"/>
      <c r="E76" s="1"/>
      <c r="F76" s="2"/>
    </row>
    <row r="77" spans="1:6" ht="15.75" x14ac:dyDescent="0.25">
      <c r="A77" s="1"/>
      <c r="B77" s="1"/>
      <c r="C77" s="1"/>
      <c r="D77" s="1"/>
      <c r="E77" s="1"/>
      <c r="F77" s="2"/>
    </row>
    <row r="78" spans="1:6" ht="15.75" x14ac:dyDescent="0.25">
      <c r="A78" s="1"/>
      <c r="B78" s="1"/>
      <c r="C78" s="1"/>
      <c r="D78" s="1"/>
      <c r="E78" s="1"/>
      <c r="F78" s="2"/>
    </row>
    <row r="79" spans="1:6" ht="15.75" x14ac:dyDescent="0.25">
      <c r="A79" s="1"/>
      <c r="B79" s="1"/>
      <c r="C79" s="1"/>
      <c r="D79" s="1"/>
      <c r="E79" s="1"/>
      <c r="F79" s="2"/>
    </row>
    <row r="80" spans="1:6" ht="15.75" x14ac:dyDescent="0.25">
      <c r="A80" s="1"/>
      <c r="B80" s="1"/>
      <c r="C80" s="1"/>
      <c r="D80" s="1"/>
      <c r="E80" s="1"/>
      <c r="F80" s="2"/>
    </row>
    <row r="81" spans="1:6" ht="15.75" x14ac:dyDescent="0.25">
      <c r="A81" s="1"/>
      <c r="B81" s="1"/>
      <c r="C81" s="1"/>
      <c r="D81" s="1"/>
      <c r="E81" s="1"/>
      <c r="F81" s="2"/>
    </row>
  </sheetData>
  <mergeCells count="1">
    <mergeCell ref="A36:E37"/>
  </mergeCells>
  <pageMargins left="0.98425196850393704" right="0.98425196850393704" top="0.98425196850393704" bottom="0.98425196850393704" header="0.51181102362204722" footer="0.51181102362204722"/>
  <pageSetup scale="94" fitToHeight="0" orientation="portrait" r:id="rId1"/>
  <headerFooter alignWithMargins="0"/>
  <rowBreaks count="1" manualBreakCount="1">
    <brk id="30"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E135901A0B594AA1B1CD7CD0BBC823" ma:contentTypeVersion="15" ma:contentTypeDescription="Crée un document." ma:contentTypeScope="" ma:versionID="ea8e4066a067ee24b578dc1be7b6ab89">
  <xsd:schema xmlns:xsd="http://www.w3.org/2001/XMLSchema" xmlns:xs="http://www.w3.org/2001/XMLSchema" xmlns:p="http://schemas.microsoft.com/office/2006/metadata/properties" xmlns:ns3="fb6b5eda-5c64-413a-b0f8-523ccac12f5c" xmlns:ns4="a741cbf7-6fd3-431e-a913-08346dcfe6cb" targetNamespace="http://schemas.microsoft.com/office/2006/metadata/properties" ma:root="true" ma:fieldsID="60ac8fa9981cfd29375384bbb8f46925" ns3:_="" ns4:_="">
    <xsd:import namespace="fb6b5eda-5c64-413a-b0f8-523ccac12f5c"/>
    <xsd:import namespace="a741cbf7-6fd3-431e-a913-08346dcfe6c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b5eda-5c64-413a-b0f8-523ccac12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41cbf7-6fd3-431e-a913-08346dcfe6c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haringHintHash" ma:index="14"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b6b5eda-5c64-413a-b0f8-523ccac12f5c" xsi:nil="true"/>
  </documentManagement>
</p:properties>
</file>

<file path=customXml/itemProps1.xml><?xml version="1.0" encoding="utf-8"?>
<ds:datastoreItem xmlns:ds="http://schemas.openxmlformats.org/officeDocument/2006/customXml" ds:itemID="{49572CB1-8BE2-416E-956C-5B6C9F7F429A}">
  <ds:schemaRefs>
    <ds:schemaRef ds:uri="http://schemas.microsoft.com/sharepoint/v3/contenttype/forms"/>
  </ds:schemaRefs>
</ds:datastoreItem>
</file>

<file path=customXml/itemProps2.xml><?xml version="1.0" encoding="utf-8"?>
<ds:datastoreItem xmlns:ds="http://schemas.openxmlformats.org/officeDocument/2006/customXml" ds:itemID="{9FDF4B19-5F0B-4919-BFDE-84F1C856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b5eda-5c64-413a-b0f8-523ccac12f5c"/>
    <ds:schemaRef ds:uri="a741cbf7-6fd3-431e-a913-08346dcfe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8F0340-FBEB-4D80-9E2B-36A4E3AA0A7B}">
  <ds:schemaRefs>
    <ds:schemaRef ds:uri="http://purl.org/dc/terms/"/>
    <ds:schemaRef ds:uri="http://schemas.openxmlformats.org/package/2006/metadata/core-properties"/>
    <ds:schemaRef ds:uri="http://schemas.microsoft.com/office/2006/documentManagement/types"/>
    <ds:schemaRef ds:uri="fb6b5eda-5c64-413a-b0f8-523ccac12f5c"/>
    <ds:schemaRef ds:uri="http://schemas.microsoft.com/office/infopath/2007/PartnerControls"/>
    <ds:schemaRef ds:uri="http://purl.org/dc/elements/1.1/"/>
    <ds:schemaRef ds:uri="http://schemas.microsoft.com/office/2006/metadata/properties"/>
    <ds:schemaRef ds:uri="a741cbf7-6fd3-431e-a913-08346dcfe6c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Solution</vt:lpstr>
      <vt:lpstr>En classe</vt:lpstr>
      <vt:lpstr>Solution-H2019</vt:lpstr>
      <vt:lpstr>'En classe'!Impression_des_titres</vt:lpstr>
      <vt:lpstr>Solution!Impression_des_titres</vt:lpstr>
      <vt:lpstr>'En classe'!Zone_d_impression</vt:lpstr>
      <vt:lpstr>Solution!Zone_d_impression</vt:lpstr>
    </vt:vector>
  </TitlesOfParts>
  <Company>UQTR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Boivin</dc:creator>
  <cp:lastModifiedBy>Boivin, Nicolas</cp:lastModifiedBy>
  <cp:lastPrinted>2024-11-20T13:17:21Z</cp:lastPrinted>
  <dcterms:created xsi:type="dcterms:W3CDTF">2005-07-05T19:14:21Z</dcterms:created>
  <dcterms:modified xsi:type="dcterms:W3CDTF">2025-08-18T19:46:23Z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0x010100F1E135901A0B594AA1B1CD7CD0BBC823</vt:lpwstr>
  </property>
</Properties>
</file>