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115" documentId="13_ncr:1_{D1B56EDB-5547-4118-A2FB-81E4ADA2DDD3}" xr6:coauthVersionLast="47" xr6:coauthVersionMax="47" xr10:uidLastSave="{3B522D49-F8C6-4BAA-B13E-A86764122AAB}"/>
  <bookViews>
    <workbookView xWindow="-120" yWindow="-120" windowWidth="38640" windowHeight="21120" xr2:uid="{00000000-000D-0000-FFFF-FFFF00000000}"/>
  </bookViews>
  <sheets>
    <sheet name="Solution" sheetId="3" r:id="rId1"/>
    <sheet name="En classe (p.1)" sheetId="4" r:id="rId2"/>
    <sheet name="En classe (p.2)" sheetId="5" r:id="rId3"/>
    <sheet name="Solution-H2019" sheetId="2" state="hidden" r:id="rId4"/>
  </sheets>
  <definedNames>
    <definedName name="_xlnm.Print_Area" localSheetId="1">'En classe (p.1)'!$A$1:$C$2</definedName>
    <definedName name="_xlnm.Print_Area" localSheetId="2">'En classe (p.2)'!$A$1:$B$2</definedName>
    <definedName name="_xlnm.Print_Area" localSheetId="0">Solution!$A$1:$H$151</definedName>
    <definedName name="_xlnm.Print_Area" localSheetId="3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E49" i="3"/>
  <c r="D102" i="3"/>
  <c r="B111" i="3"/>
  <c r="D111" i="3"/>
  <c r="D113" i="3"/>
  <c r="G11" i="3"/>
  <c r="B4" i="4"/>
  <c r="G14" i="3"/>
  <c r="B3" i="4"/>
  <c r="E141" i="3"/>
  <c r="E74" i="3"/>
  <c r="E75" i="3"/>
  <c r="D63" i="3"/>
  <c r="D65" i="3"/>
  <c r="D67" i="3"/>
  <c r="E40" i="3"/>
  <c r="D69" i="3"/>
  <c r="D70" i="3"/>
  <c r="H70" i="3"/>
  <c r="D55" i="3"/>
  <c r="D56" i="3"/>
  <c r="D57" i="3"/>
  <c r="D58" i="3"/>
  <c r="H58" i="3"/>
  <c r="E79" i="3"/>
  <c r="E81" i="3"/>
  <c r="E85" i="3"/>
  <c r="E86" i="3"/>
  <c r="F80" i="3"/>
  <c r="F82" i="3"/>
  <c r="F84" i="3"/>
  <c r="F85" i="3"/>
  <c r="F86" i="3"/>
  <c r="H86" i="3"/>
  <c r="E96" i="3"/>
  <c r="E97" i="3"/>
  <c r="H97" i="3"/>
  <c r="D104" i="3"/>
  <c r="D105" i="3"/>
  <c r="H105" i="3"/>
  <c r="H116" i="3"/>
  <c r="E19" i="3"/>
  <c r="E123" i="3"/>
  <c r="E124" i="3"/>
  <c r="H124" i="3"/>
  <c r="H126" i="3"/>
  <c r="E21" i="3"/>
  <c r="F21" i="3"/>
  <c r="F145" i="3"/>
  <c r="G147" i="3"/>
  <c r="F133" i="3"/>
  <c r="F134" i="3"/>
  <c r="F135" i="3"/>
  <c r="E139" i="3"/>
  <c r="E142" i="3"/>
  <c r="E133" i="3"/>
  <c r="E135" i="3"/>
  <c r="B112" i="3"/>
  <c r="E136" i="3"/>
  <c r="E44" i="3"/>
  <c r="E25" i="3"/>
  <c r="E47" i="3"/>
  <c r="F136" i="3"/>
  <c r="H136" i="3"/>
  <c r="H148" i="3"/>
  <c r="E23" i="3"/>
  <c r="F25" i="3"/>
  <c r="G25" i="3"/>
  <c r="G29" i="3"/>
  <c r="E50" i="3"/>
  <c r="F44" i="2"/>
  <c r="E45" i="2"/>
  <c r="E46" i="2"/>
  <c r="E33" i="2"/>
  <c r="E14" i="2"/>
  <c r="F17" i="2"/>
  <c r="F21" i="2"/>
  <c r="F23" i="2"/>
</calcChain>
</file>

<file path=xl/sharedStrings.xml><?xml version="1.0" encoding="utf-8"?>
<sst xmlns="http://schemas.openxmlformats.org/spreadsheetml/2006/main" count="211" uniqueCount="173">
  <si>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</si>
  <si>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</si>
  <si>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</si>
  <si>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</si>
  <si>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</si>
  <si>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</si>
  <si>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</si>
  <si>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</si>
  <si>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</si>
  <si>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</si>
  <si>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</si>
  <si>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</si>
  <si>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</si>
  <si>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</si>
  <si>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</si>
  <si>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</si>
  <si>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</si>
  <si>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</si>
  <si>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</si>
  <si>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</si>
  <si>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</si>
  <si>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</si>
  <si>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</si>
  <si>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</si>
  <si>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</si>
  <si>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</si>
  <si>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</si>
  <si>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</si>
  <si>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</si>
  <si>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</si>
  <si>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</si>
  <si>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</si>
  <si>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</si>
  <si>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</si>
  <si>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</si>
  <si>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</si>
  <si>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</si>
  <si>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</si>
  <si>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</si>
  <si>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</si>
  <si>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</si>
  <si>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</si>
  <si>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</si>
  <si>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</si>
  <si>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</si>
  <si>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3c) Déductions</t>
  </si>
  <si>
    <t>3d) Pertes</t>
  </si>
  <si>
    <t>REVENU</t>
  </si>
  <si>
    <t>Revenu d'emploi</t>
  </si>
  <si>
    <t>Revenu de biens</t>
  </si>
  <si>
    <t>&gt; Salaire</t>
  </si>
  <si>
    <t>3a) Revenus</t>
  </si>
  <si>
    <t>Report à l'alinéa 3b)</t>
  </si>
  <si>
    <t>GCI réalisés (sauf sur dispositions de BMD)</t>
  </si>
  <si>
    <t xml:space="preserve">Nb d'années de propriété = </t>
  </si>
  <si>
    <t xml:space="preserve">Gain / année = </t>
  </si>
  <si>
    <t>Avantageux par année de désignation</t>
  </si>
  <si>
    <t>Gain / année =</t>
  </si>
  <si>
    <t>Produit de disposition</t>
  </si>
  <si>
    <t>PBR</t>
  </si>
  <si>
    <t>Frais à la disposition</t>
  </si>
  <si>
    <t>Gain en capital</t>
  </si>
  <si>
    <t>moindre de:</t>
  </si>
  <si>
    <t>Gain en capital imposable</t>
  </si>
  <si>
    <t>GNI réalisé sur dispositions de BMD</t>
  </si>
  <si>
    <t>Perte en capital</t>
  </si>
  <si>
    <t>Perte en capital déductible</t>
  </si>
  <si>
    <t>sur BMD</t>
  </si>
  <si>
    <t xml:space="preserve">PCD réalisées (sauf sur dispositions de BMD) </t>
  </si>
  <si>
    <t>(en $ US)</t>
  </si>
  <si>
    <t>(en $ CAN)</t>
  </si>
  <si>
    <t xml:space="preserve">  x taux de conversion la journée de la vente</t>
  </si>
  <si>
    <t xml:space="preserve">  x taux de conversion la journée de l'achat</t>
  </si>
  <si>
    <t>inclus</t>
  </si>
  <si>
    <t>PCD réalisées qui se qualifient de PDTPE</t>
  </si>
  <si>
    <t xml:space="preserve">(i) (A)+(B)  </t>
  </si>
  <si>
    <t xml:space="preserve">     PCD réalisées qui se qualifient de PDTPE</t>
  </si>
  <si>
    <t>3b) GCI - PCD = (i) - (ii)</t>
  </si>
  <si>
    <t>(+)</t>
  </si>
  <si>
    <t xml:space="preserve">(ii) PCD réalisées (sauf sur dispositions de BMD) </t>
  </si>
  <si>
    <t>(-)</t>
  </si>
  <si>
    <t>Calcul de l'indice « GC / Année de propriété »</t>
  </si>
  <si>
    <t>Exemption pour résidence principale</t>
  </si>
  <si>
    <t xml:space="preserve">- PD à recevoir / PD total x GC = </t>
  </si>
  <si>
    <t>Portefeuille de placements à la bourse</t>
  </si>
  <si>
    <t>(+) provision année précédente</t>
  </si>
  <si>
    <t>(-) provision année  courante</t>
  </si>
  <si>
    <t xml:space="preserve">  (A) GCI réalisés (sauf sur dispositions de BMD)</t>
  </si>
  <si>
    <t xml:space="preserve">  (+)</t>
  </si>
  <si>
    <t xml:space="preserve">  (B) GNI réalisé sur dispositions de BMD</t>
  </si>
  <si>
    <t>Note 1 - Détail des GCI et des PCD</t>
  </si>
  <si>
    <t>(note 1)</t>
  </si>
  <si>
    <t>&gt; Revenu d'intérêt</t>
  </si>
  <si>
    <t>Résidence à Laval</t>
  </si>
  <si>
    <t>Gain réel = 750 000 $ - 560 000 $ =</t>
  </si>
  <si>
    <t>désignation disponibles</t>
  </si>
  <si>
    <t xml:space="preserve">il faut conserver 7 années de </t>
  </si>
  <si>
    <t>désignation disponibles à</t>
  </si>
  <si>
    <t>utiliser dans le futur</t>
  </si>
  <si>
    <t xml:space="preserve">à utiliser cette année </t>
  </si>
  <si>
    <t xml:space="preserve">190 000 $ x (1 an + 9 ans) / 16 ans </t>
  </si>
  <si>
    <t xml:space="preserve">Terrain vacant à Saint-Georges </t>
  </si>
  <si>
    <t>Calcul du PBR du terrain :</t>
  </si>
  <si>
    <t>Prix d’acquisition</t>
  </si>
  <si>
    <t>560 $ x 5 ans</t>
  </si>
  <si>
    <t>(+) Impôts fonciers payés et non déductibles</t>
  </si>
  <si>
    <t>- 4/5 du GC (27 200 $) = 21 760 $</t>
  </si>
  <si>
    <t xml:space="preserve">  300 000 $ / 445 000 $ x 27 200 $ = 18 337 $*</t>
  </si>
  <si>
    <t>Voiture Tesla</t>
  </si>
  <si>
    <t>règle du 1 000 $ minimum</t>
  </si>
  <si>
    <t>sur BUP</t>
  </si>
  <si>
    <t xml:space="preserve">Immeuble commercial </t>
  </si>
  <si>
    <t xml:space="preserve">réputé acquis à la JVM au moment du </t>
  </si>
  <si>
    <t>changement d'usage en 2020</t>
  </si>
  <si>
    <t xml:space="preserve">Calder Corp </t>
  </si>
  <si>
    <t>TPA.com</t>
  </si>
  <si>
    <t>Calcul du PBR des actions de TPA.com :</t>
  </si>
  <si>
    <t>(+) Frais de courtage à l'achat</t>
  </si>
  <si>
    <t>5 $ chacune</t>
  </si>
  <si>
    <t>48 $ chacune</t>
  </si>
  <si>
    <t xml:space="preserve">Meta Platforms </t>
  </si>
  <si>
    <t>Frais à la disposition (25 $ CAN)</t>
  </si>
  <si>
    <t>10 000 $ x 0,9900 &gt; taux de conversion le 15-6-2007</t>
  </si>
  <si>
    <t>12 200 $ x 1,3650 &gt; taux de conversion le 14-12-20XX</t>
  </si>
  <si>
    <t xml:space="preserve">  incluant 25 $ CAN de frais de courtage à l'achat</t>
  </si>
  <si>
    <t xml:space="preserve">Triangle Ltd </t>
  </si>
  <si>
    <t>Calcul du PBR moyen des actions de Triangle Ltd (incluant 25 $ de frais de courtage pour chaque achat) :</t>
  </si>
  <si>
    <t xml:space="preserve">(6 000 $ + 25 $ + 5 150 $ + 25 $ + 9 300 $ + 25 $) / 1 000 actions = </t>
  </si>
  <si>
    <t xml:space="preserve">x 800 actions vendues = </t>
  </si>
  <si>
    <t>par action</t>
  </si>
  <si>
    <t>Aussi:</t>
  </si>
  <si>
    <t>Moindre de:</t>
  </si>
  <si>
    <t>Coût</t>
  </si>
  <si>
    <t>PD</t>
  </si>
  <si>
    <t>Récupération d’amortis. imposée</t>
  </si>
  <si>
    <t>Affecte le calcul du revenu d'entreprise</t>
  </si>
  <si>
    <t>Revenu d'entreprise</t>
  </si>
  <si>
    <t>&gt; Récupération d’amortissement imposée</t>
  </si>
  <si>
    <t xml:space="preserve">Collection de cartes et objets Star Wars </t>
  </si>
  <si>
    <t>Calcul du revenu pour M. Carl Quirion</t>
  </si>
  <si>
    <t>&gt; Dividende déterminé (majoration de 38 %)</t>
  </si>
  <si>
    <t>Prix d’acquisition des options d'achat d'actions</t>
  </si>
  <si>
    <t>*</t>
  </si>
  <si>
    <t>Gain latent = (415 000 $ x (1+25 %)) - 300 000 $ =</t>
  </si>
  <si>
    <t xml:space="preserve">(JVM supérieure à l'évaluation municipale de 15 %) </t>
  </si>
  <si>
    <t>1 000 000 $ x (1+15 %)</t>
  </si>
  <si>
    <t>FNACC au 31-12-20WW</t>
  </si>
  <si>
    <t>(+) Prix d’acquisition des actions lors de l'exercice</t>
  </si>
  <si>
    <t>GCI (PCD)</t>
  </si>
  <si>
    <t>Terrain</t>
  </si>
  <si>
    <t>Voiture</t>
  </si>
  <si>
    <t>Autres sources de revenus</t>
  </si>
  <si>
    <t>Collection</t>
  </si>
  <si>
    <t>Immeuble commercial</t>
  </si>
  <si>
    <t>Emploi, biens</t>
  </si>
  <si>
    <t>Entreprise (récup. amort.)</t>
  </si>
  <si>
    <t>Résidence à Laval (vendue)</t>
  </si>
  <si>
    <t>Autre résidence à Laval (non vendue)</t>
  </si>
  <si>
    <t>Semaine 8 ou 9 - Solution</t>
  </si>
  <si>
    <t xml:space="preserve">il reste donc 9 années de </t>
  </si>
  <si>
    <t>Année d'acquisition = 2010</t>
  </si>
  <si>
    <t>Année d'acquisition = 2018</t>
  </si>
  <si>
    <t>(2010 à 2018)</t>
  </si>
  <si>
    <t>(2019 à 2025)</t>
  </si>
  <si>
    <t>218 750 $ x (1 + 7 ans) / 8 ans</t>
  </si>
  <si>
    <t>2010 à 2018</t>
  </si>
  <si>
    <t>2019 à 2025</t>
  </si>
  <si>
    <t>2010 à 2025</t>
  </si>
  <si>
    <t xml:space="preserve">(JVM supérieure à l'évaluation municipale de 25 % à Laval) </t>
  </si>
  <si>
    <t>utilisé</t>
  </si>
  <si>
    <t>conservé</t>
  </si>
  <si>
    <t>détention</t>
  </si>
  <si>
    <t>Catégorie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</si>
</sst>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</numFmts>
  <fonts count="16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b/>
      <i/>
      <sz val="12"/>
      <name val="Times New Roman"/>
      <family val="1"/>
    </font>
    <font>
      <sz val="11"/>
      <name val="Bookman Old Style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5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 applyBorder="1" applyAlignment="1">
      <alignment horizontal="center"/>
    </xf>
    <xf numFmtId="5" fontId="3" fillId="0" borderId="0" xfId="1" applyNumberFormat="1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10" fillId="0" borderId="0" xfId="0" applyFont="1" applyBorder="1"/>
    <xf numFmtId="0" fontId="2" fillId="0" borderId="0" xfId="0" quotePrefix="1" applyFont="1" applyBorder="1"/>
    <xf numFmtId="0" fontId="3" fillId="0" borderId="0" xfId="0" applyFont="1" applyBorder="1" applyAlignment="1">
      <alignment horizontal="right"/>
    </xf>
    <xf numFmtId="0" fontId="2" fillId="0" borderId="14" xfId="0" applyFont="1" applyBorder="1"/>
    <xf numFmtId="5" fontId="2" fillId="0" borderId="0" xfId="3" applyNumberFormat="1" applyFont="1"/>
    <xf numFmtId="0" fontId="10" fillId="0" borderId="0" xfId="0" applyFont="1"/>
    <xf numFmtId="5" fontId="11" fillId="2" borderId="19" xfId="0" applyNumberFormat="1" applyFont="1" applyFill="1" applyBorder="1"/>
    <xf numFmtId="5" fontId="11" fillId="2" borderId="0" xfId="0" applyNumberFormat="1" applyFont="1" applyFill="1" applyBorder="1"/>
    <xf numFmtId="5" fontId="11" fillId="2" borderId="0" xfId="3" applyNumberFormat="1" applyFont="1" applyFill="1"/>
    <xf numFmtId="5" fontId="11" fillId="2" borderId="0" xfId="0" applyNumberFormat="1" applyFont="1" applyFill="1"/>
    <xf numFmtId="5" fontId="2" fillId="0" borderId="0" xfId="0" applyNumberFormat="1" applyFont="1" applyFill="1" applyBorder="1"/>
    <xf numFmtId="5" fontId="2" fillId="0" borderId="0" xfId="3" applyNumberFormat="1" applyFont="1" applyFill="1" applyBorder="1"/>
    <xf numFmtId="0" fontId="2" fillId="0" borderId="0" xfId="0" applyFont="1" applyFill="1" applyBorder="1"/>
    <xf numFmtId="5" fontId="3" fillId="0" borderId="21" xfId="0" applyNumberFormat="1" applyFont="1" applyFill="1" applyBorder="1" applyAlignment="1">
      <alignment horizontal="center" wrapText="1"/>
    </xf>
    <xf numFmtId="5" fontId="3" fillId="0" borderId="0" xfId="0" applyNumberFormat="1" applyFont="1" applyFill="1" applyBorder="1"/>
    <xf numFmtId="5" fontId="11" fillId="0" borderId="0" xfId="0" applyNumberFormat="1" applyFont="1" applyFill="1" applyBorder="1" applyAlignment="1"/>
    <xf numFmtId="5" fontId="2" fillId="0" borderId="0" xfId="0" applyNumberFormat="1" applyFont="1" applyFill="1"/>
    <xf numFmtId="5" fontId="2" fillId="0" borderId="0" xfId="3" applyNumberFormat="1" applyFont="1" applyFill="1"/>
    <xf numFmtId="5" fontId="3" fillId="0" borderId="0" xfId="0" applyNumberFormat="1" applyFont="1" applyFill="1"/>
    <xf numFmtId="5" fontId="6" fillId="0" borderId="0" xfId="0" applyNumberFormat="1" applyFont="1" applyFill="1"/>
    <xf numFmtId="5" fontId="11" fillId="0" borderId="0" xfId="0" applyNumberFormat="1" applyFont="1" applyFill="1"/>
    <xf numFmtId="5" fontId="7" fillId="0" borderId="16" xfId="0" applyNumberFormat="1" applyFont="1" applyFill="1" applyBorder="1"/>
    <xf numFmtId="5" fontId="11" fillId="0" borderId="17" xfId="0" applyNumberFormat="1" applyFont="1" applyFill="1" applyBorder="1"/>
    <xf numFmtId="5" fontId="11" fillId="0" borderId="18" xfId="0" applyNumberFormat="1" applyFont="1" applyFill="1" applyBorder="1"/>
    <xf numFmtId="5" fontId="11" fillId="0" borderId="19" xfId="0" applyNumberFormat="1" applyFont="1" applyFill="1" applyBorder="1"/>
    <xf numFmtId="5" fontId="11" fillId="0" borderId="0" xfId="0" applyNumberFormat="1" applyFont="1" applyFill="1" applyBorder="1"/>
    <xf numFmtId="5" fontId="11" fillId="0" borderId="25" xfId="0" applyNumberFormat="1" applyFont="1" applyFill="1" applyBorder="1"/>
    <xf numFmtId="5" fontId="11" fillId="0" borderId="0" xfId="0" applyNumberFormat="1" applyFont="1" applyFill="1" applyBorder="1" applyAlignment="1">
      <alignment horizontal="right"/>
    </xf>
    <xf numFmtId="5" fontId="11" fillId="0" borderId="20" xfId="0" applyNumberFormat="1" applyFont="1" applyFill="1" applyBorder="1"/>
    <xf numFmtId="5" fontId="11" fillId="0" borderId="1" xfId="0" applyNumberFormat="1" applyFont="1" applyFill="1" applyBorder="1"/>
    <xf numFmtId="5" fontId="14" fillId="0" borderId="22" xfId="0" applyNumberFormat="1" applyFont="1" applyFill="1" applyBorder="1"/>
    <xf numFmtId="5" fontId="14" fillId="0" borderId="23" xfId="0" applyNumberFormat="1" applyFont="1" applyFill="1" applyBorder="1"/>
    <xf numFmtId="5" fontId="2" fillId="0" borderId="17" xfId="0" applyNumberFormat="1" applyFont="1" applyFill="1" applyBorder="1"/>
    <xf numFmtId="5" fontId="2" fillId="0" borderId="0" xfId="0" applyNumberFormat="1" applyFont="1" applyFill="1" applyAlignment="1">
      <alignment horizontal="right"/>
    </xf>
    <xf numFmtId="5" fontId="2" fillId="0" borderId="2" xfId="0" applyNumberFormat="1" applyFont="1" applyFill="1" applyBorder="1"/>
    <xf numFmtId="5" fontId="11" fillId="0" borderId="0" xfId="0" applyNumberFormat="1" applyFont="1" applyFill="1" applyAlignment="1">
      <alignment horizontal="left" wrapText="1"/>
    </xf>
    <xf numFmtId="5" fontId="14" fillId="0" borderId="0" xfId="0" applyNumberFormat="1" applyFont="1" applyFill="1" applyAlignment="1">
      <alignment horizontal="center"/>
    </xf>
    <xf numFmtId="7" fontId="2" fillId="0" borderId="0" xfId="0" applyNumberFormat="1" applyFont="1" applyFill="1"/>
    <xf numFmtId="5" fontId="14" fillId="0" borderId="0" xfId="0" applyNumberFormat="1" applyFont="1" applyFill="1" applyBorder="1" applyAlignment="1">
      <alignment horizontal="center"/>
    </xf>
    <xf numFmtId="5" fontId="11" fillId="0" borderId="0" xfId="0" applyNumberFormat="1" applyFont="1" applyFill="1" applyAlignment="1">
      <alignment horizontal="right"/>
    </xf>
    <xf numFmtId="5" fontId="11" fillId="0" borderId="21" xfId="0" applyNumberFormat="1" applyFont="1" applyFill="1" applyBorder="1"/>
    <xf numFmtId="5" fontId="3" fillId="0" borderId="11" xfId="1" applyNumberFormat="1" applyFont="1" applyBorder="1"/>
    <xf numFmtId="0" fontId="3" fillId="0" borderId="0" xfId="0" applyFont="1" applyFill="1" applyBorder="1" applyAlignment="1">
      <alignment horizontal="center"/>
    </xf>
    <xf numFmtId="5" fontId="3" fillId="0" borderId="0" xfId="1" applyNumberFormat="1" applyFont="1" applyFill="1" applyBorder="1" applyAlignment="1">
      <alignment horizontal="center"/>
    </xf>
    <xf numFmtId="5" fontId="2" fillId="0" borderId="0" xfId="1" applyNumberFormat="1" applyFont="1" applyFill="1" applyBorder="1"/>
    <xf numFmtId="5" fontId="3" fillId="0" borderId="0" xfId="1" applyNumberFormat="1" applyFont="1" applyFill="1" applyBorder="1"/>
    <xf numFmtId="0" fontId="11" fillId="0" borderId="25" xfId="0" applyNumberFormat="1" applyFont="1" applyFill="1" applyBorder="1" applyAlignment="1">
      <alignment horizontal="center"/>
    </xf>
    <xf numFmtId="5" fontId="3" fillId="0" borderId="23" xfId="3" applyNumberFormat="1" applyFont="1" applyFill="1" applyBorder="1"/>
    <xf numFmtId="20" fontId="3" fillId="0" borderId="0" xfId="0" applyNumberFormat="1" applyFont="1" applyBorder="1"/>
    <xf numFmtId="0" fontId="3" fillId="0" borderId="0" xfId="0" applyFont="1" applyFill="1" applyBorder="1"/>
    <xf numFmtId="5" fontId="2" fillId="0" borderId="0" xfId="0" applyNumberFormat="1" applyFont="1" applyFill="1" applyAlignment="1">
      <alignment horizontal="left"/>
    </xf>
    <xf numFmtId="5" fontId="2" fillId="0" borderId="1" xfId="0" applyNumberFormat="1" applyFont="1" applyFill="1" applyBorder="1"/>
    <xf numFmtId="5" fontId="14" fillId="3" borderId="0" xfId="0" applyNumberFormat="1" applyFont="1" applyFill="1" applyBorder="1"/>
    <xf numFmtId="5" fontId="2" fillId="4" borderId="0" xfId="3" applyNumberFormat="1" applyFont="1" applyFill="1"/>
    <xf numFmtId="5" fontId="11" fillId="0" borderId="0" xfId="0" applyNumberFormat="1" applyFont="1" applyFill="1" applyAlignment="1">
      <alignment horizontal="left"/>
    </xf>
    <xf numFmtId="5" fontId="2" fillId="5" borderId="0" xfId="0" applyNumberFormat="1" applyFont="1" applyFill="1"/>
    <xf numFmtId="5" fontId="11" fillId="5" borderId="0" xfId="0" applyNumberFormat="1" applyFont="1" applyFill="1" applyAlignment="1">
      <alignment horizontal="left"/>
    </xf>
    <xf numFmtId="0" fontId="3" fillId="5" borderId="24" xfId="0" applyFont="1" applyFill="1" applyBorder="1"/>
    <xf numFmtId="5" fontId="11" fillId="5" borderId="0" xfId="1" applyNumberFormat="1" applyFont="1" applyFill="1" applyBorder="1" applyAlignment="1">
      <alignment horizontal="left"/>
    </xf>
    <xf numFmtId="0" fontId="2" fillId="5" borderId="0" xfId="0" applyFont="1" applyFill="1" applyBorder="1"/>
    <xf numFmtId="5" fontId="2" fillId="6" borderId="0" xfId="0" applyNumberFormat="1" applyFont="1" applyFill="1"/>
    <xf numFmtId="5" fontId="11" fillId="6" borderId="0" xfId="0" applyNumberFormat="1" applyFont="1" applyFill="1"/>
    <xf numFmtId="0" fontId="14" fillId="3" borderId="0" xfId="0" applyFont="1" applyFill="1" applyBorder="1"/>
    <xf numFmtId="0" fontId="3" fillId="3" borderId="0" xfId="0" applyFont="1" applyFill="1" applyBorder="1"/>
    <xf numFmtId="5" fontId="11" fillId="3" borderId="0" xfId="0" applyNumberFormat="1" applyFont="1" applyFill="1" applyBorder="1"/>
    <xf numFmtId="5" fontId="11" fillId="3" borderId="0" xfId="3" quotePrefix="1" applyNumberFormat="1" applyFont="1" applyFill="1" applyBorder="1"/>
    <xf numFmtId="5" fontId="2" fillId="3" borderId="1" xfId="0" applyNumberFormat="1" applyFont="1" applyFill="1" applyBorder="1"/>
    <xf numFmtId="5" fontId="3" fillId="0" borderId="13" xfId="0" applyNumberFormat="1" applyFont="1" applyFill="1" applyBorder="1"/>
    <xf numFmtId="5" fontId="3" fillId="0" borderId="14" xfId="0" applyNumberFormat="1" applyFont="1" applyFill="1" applyBorder="1"/>
    <xf numFmtId="5" fontId="3" fillId="0" borderId="21" xfId="0" applyNumberFormat="1" applyFont="1" applyFill="1" applyBorder="1"/>
    <xf numFmtId="0" fontId="3" fillId="0" borderId="14" xfId="0" applyFont="1" applyFill="1" applyBorder="1"/>
    <xf numFmtId="5" fontId="11" fillId="0" borderId="14" xfId="0" applyNumberFormat="1" applyFont="1" applyFill="1" applyBorder="1" applyAlignment="1">
      <alignment horizontal="left" wrapText="1"/>
    </xf>
    <xf numFmtId="5" fontId="14" fillId="0" borderId="14" xfId="0" applyNumberFormat="1" applyFont="1" applyFill="1" applyBorder="1" applyAlignment="1">
      <alignment horizontal="left" wrapText="1"/>
    </xf>
    <xf numFmtId="5" fontId="3" fillId="0" borderId="14" xfId="0" applyNumberFormat="1" applyFont="1" applyFill="1" applyBorder="1" applyAlignment="1">
      <alignment horizontal="left"/>
    </xf>
    <xf numFmtId="5" fontId="14" fillId="0" borderId="13" xfId="0" applyNumberFormat="1" applyFont="1" applyFill="1" applyBorder="1" applyAlignment="1">
      <alignment horizontal="center"/>
    </xf>
    <xf numFmtId="5" fontId="14" fillId="0" borderId="14" xfId="0" applyNumberFormat="1" applyFont="1" applyFill="1" applyBorder="1" applyAlignment="1">
      <alignment horizontal="center"/>
    </xf>
    <xf numFmtId="5" fontId="2" fillId="0" borderId="14" xfId="0" applyNumberFormat="1" applyFont="1" applyFill="1" applyBorder="1"/>
    <xf numFmtId="5" fontId="2" fillId="0" borderId="23" xfId="0" applyNumberFormat="1" applyFont="1" applyFill="1" applyBorder="1"/>
    <xf numFmtId="5" fontId="2" fillId="0" borderId="0" xfId="0" applyNumberFormat="1" applyFont="1" applyFill="1" applyBorder="1" applyAlignment="1">
      <alignment wrapText="1"/>
    </xf>
    <xf numFmtId="5" fontId="2" fillId="0" borderId="14" xfId="0" applyNumberFormat="1" applyFont="1" applyFill="1" applyBorder="1" applyAlignment="1">
      <alignment wrapText="1"/>
    </xf>
    <xf numFmtId="5" fontId="2" fillId="0" borderId="21" xfId="1" applyNumberFormat="1" applyFont="1" applyFill="1" applyBorder="1"/>
    <xf numFmtId="5" fontId="3" fillId="0" borderId="21" xfId="1" applyNumberFormat="1" applyFont="1" applyFill="1" applyBorder="1"/>
    <xf numFmtId="5" fontId="2" fillId="0" borderId="0" xfId="1" applyNumberFormat="1" applyFont="1" applyFill="1" applyBorder="1" applyAlignment="1">
      <alignment horizontal="center"/>
    </xf>
    <xf numFmtId="5" fontId="3" fillId="7" borderId="21" xfId="1" applyNumberFormat="1" applyFont="1" applyFill="1" applyBorder="1"/>
    <xf numFmtId="0" fontId="2" fillId="0" borderId="30" xfId="0" applyFont="1" applyBorder="1"/>
    <xf numFmtId="5" fontId="2" fillId="0" borderId="30" xfId="1" applyNumberFormat="1" applyFont="1" applyFill="1" applyBorder="1"/>
    <xf numFmtId="0" fontId="3" fillId="0" borderId="31" xfId="0" applyFont="1" applyBorder="1"/>
    <xf numFmtId="5" fontId="2" fillId="0" borderId="28" xfId="0" applyNumberFormat="1" applyFont="1" applyFill="1" applyBorder="1"/>
    <xf numFmtId="0" fontId="3" fillId="0" borderId="32" xfId="0" applyFont="1" applyBorder="1"/>
    <xf numFmtId="5" fontId="2" fillId="0" borderId="28" xfId="0" applyNumberFormat="1" applyFont="1" applyFill="1" applyBorder="1" applyAlignment="1">
      <alignment horizontal="right"/>
    </xf>
    <xf numFmtId="5" fontId="2" fillId="0" borderId="29" xfId="0" applyNumberFormat="1" applyFont="1" applyFill="1" applyBorder="1"/>
    <xf numFmtId="5" fontId="2" fillId="0" borderId="33" xfId="0" applyNumberFormat="1" applyFont="1" applyFill="1" applyBorder="1"/>
    <xf numFmtId="5" fontId="2" fillId="0" borderId="33" xfId="1" applyNumberFormat="1" applyFont="1" applyFill="1" applyBorder="1"/>
    <xf numFmtId="5" fontId="3" fillId="7" borderId="34" xfId="1" applyNumberFormat="1" applyFont="1" applyFill="1" applyBorder="1"/>
    <xf numFmtId="5" fontId="2" fillId="0" borderId="34" xfId="1" applyNumberFormat="1" applyFont="1" applyFill="1" applyBorder="1"/>
    <xf numFmtId="0" fontId="3" fillId="0" borderId="35" xfId="0" applyFont="1" applyBorder="1"/>
    <xf numFmtId="5" fontId="2" fillId="2" borderId="0" xfId="3" applyNumberFormat="1" applyFont="1" applyFill="1"/>
    <xf numFmtId="0" fontId="6" fillId="0" borderId="27" xfId="0" applyFont="1" applyBorder="1"/>
    <xf numFmtId="5" fontId="11" fillId="0" borderId="0" xfId="0" applyNumberFormat="1" applyFont="1" applyFill="1" applyAlignment="1">
      <alignment horizontal="left" wrapText="1"/>
    </xf>
    <xf numFmtId="5" fontId="3" fillId="7" borderId="21" xfId="0" applyNumberFormat="1" applyFont="1" applyFill="1" applyBorder="1"/>
    <xf numFmtId="5" fontId="11" fillId="0" borderId="0" xfId="3" applyNumberFormat="1" applyFont="1" applyFill="1"/>
    <xf numFmtId="5" fontId="2" fillId="2" borderId="0" xfId="1" applyNumberFormat="1" applyFont="1" applyFill="1" applyBorder="1"/>
    <xf numFmtId="5" fontId="3" fillId="6" borderId="0" xfId="0" applyNumberFormat="1" applyFont="1" applyFill="1" applyBorder="1"/>
    <xf numFmtId="5" fontId="11" fillId="6" borderId="0" xfId="0" applyNumberFormat="1" applyFont="1" applyFill="1" applyBorder="1"/>
    <xf numFmtId="5" fontId="2" fillId="6" borderId="0" xfId="0" applyNumberFormat="1" applyFont="1" applyFill="1" applyBorder="1"/>
    <xf numFmtId="5" fontId="2" fillId="4" borderId="2" xfId="0" applyNumberFormat="1" applyFont="1" applyFill="1" applyBorder="1"/>
    <xf numFmtId="5" fontId="14" fillId="0" borderId="0" xfId="0" applyNumberFormat="1" applyFont="1" applyFill="1" applyAlignment="1">
      <alignment horizontal="left"/>
    </xf>
    <xf numFmtId="5" fontId="2" fillId="8" borderId="0" xfId="0" applyNumberFormat="1" applyFont="1" applyFill="1"/>
    <xf numFmtId="5" fontId="11" fillId="8" borderId="0" xfId="0" applyNumberFormat="1" applyFont="1" applyFill="1" applyAlignment="1">
      <alignment horizontal="left"/>
    </xf>
    <xf numFmtId="5" fontId="11" fillId="8" borderId="0" xfId="1" applyNumberFormat="1" applyFont="1" applyFill="1" applyBorder="1" applyAlignment="1">
      <alignment horizontal="left"/>
    </xf>
    <xf numFmtId="5" fontId="2" fillId="9" borderId="0" xfId="0" applyNumberFormat="1" applyFont="1" applyFill="1" applyAlignment="1">
      <alignment horizontal="center"/>
    </xf>
    <xf numFmtId="5" fontId="2" fillId="9" borderId="0" xfId="0" applyNumberFormat="1" applyFont="1" applyFill="1"/>
    <xf numFmtId="5" fontId="2" fillId="10" borderId="17" xfId="0" applyNumberFormat="1" applyFont="1" applyFill="1" applyBorder="1"/>
    <xf numFmtId="5" fontId="3" fillId="10" borderId="17" xfId="0" applyNumberFormat="1" applyFont="1" applyFill="1" applyBorder="1"/>
    <xf numFmtId="5" fontId="3" fillId="10" borderId="13" xfId="0" applyNumberFormat="1" applyFont="1" applyFill="1" applyBorder="1"/>
    <xf numFmtId="5" fontId="2" fillId="10" borderId="0" xfId="0" applyNumberFormat="1" applyFont="1" applyFill="1" applyBorder="1"/>
    <xf numFmtId="5" fontId="3" fillId="10" borderId="0" xfId="0" applyNumberFormat="1" applyFont="1" applyFill="1" applyBorder="1"/>
    <xf numFmtId="5" fontId="3" fillId="10" borderId="14" xfId="0" applyNumberFormat="1" applyFont="1" applyFill="1" applyBorder="1"/>
    <xf numFmtId="5" fontId="2" fillId="10" borderId="1" xfId="0" applyNumberFormat="1" applyFont="1" applyFill="1" applyBorder="1"/>
    <xf numFmtId="5" fontId="3" fillId="10" borderId="1" xfId="0" applyNumberFormat="1" applyFont="1" applyFill="1" applyBorder="1"/>
    <xf numFmtId="5" fontId="11" fillId="10" borderId="15" xfId="0" applyNumberFormat="1" applyFont="1" applyFill="1" applyBorder="1" applyAlignment="1">
      <alignment horizontal="right"/>
    </xf>
    <xf numFmtId="5" fontId="11" fillId="10" borderId="16" xfId="0" applyNumberFormat="1" applyFont="1" applyFill="1" applyBorder="1"/>
    <xf numFmtId="5" fontId="11" fillId="10" borderId="17" xfId="0" applyNumberFormat="1" applyFont="1" applyFill="1" applyBorder="1"/>
    <xf numFmtId="5" fontId="11" fillId="10" borderId="19" xfId="0" applyNumberFormat="1" applyFont="1" applyFill="1" applyBorder="1"/>
    <xf numFmtId="5" fontId="11" fillId="10" borderId="0" xfId="0" applyNumberFormat="1" applyFont="1" applyFill="1" applyBorder="1"/>
    <xf numFmtId="0" fontId="11" fillId="10" borderId="0" xfId="0" applyFont="1" applyFill="1" applyBorder="1"/>
    <xf numFmtId="5" fontId="11" fillId="11" borderId="20" xfId="0" applyNumberFormat="1" applyFont="1" applyFill="1" applyBorder="1"/>
    <xf numFmtId="5" fontId="11" fillId="11" borderId="1" xfId="0" applyNumberFormat="1" applyFont="1" applyFill="1" applyBorder="1"/>
    <xf numFmtId="0" fontId="11" fillId="11" borderId="1" xfId="0" applyFont="1" applyFill="1" applyBorder="1"/>
    <xf numFmtId="5" fontId="11" fillId="11" borderId="23" xfId="0" applyNumberFormat="1" applyFont="1" applyFill="1" applyBorder="1"/>
    <xf numFmtId="5" fontId="11" fillId="10" borderId="1" xfId="0" applyNumberFormat="1" applyFont="1" applyFill="1" applyBorder="1"/>
    <xf numFmtId="5" fontId="3" fillId="11" borderId="21" xfId="1" applyNumberFormat="1" applyFont="1" applyFill="1" applyBorder="1"/>
    <xf numFmtId="5" fontId="2" fillId="12" borderId="2" xfId="0" applyNumberFormat="1" applyFont="1" applyFill="1" applyBorder="1"/>
    <xf numFmtId="5" fontId="2" fillId="12" borderId="0" xfId="0" applyNumberFormat="1" applyFont="1" applyFill="1"/>
    <xf numFmtId="5" fontId="2" fillId="0" borderId="11" xfId="0" applyNumberFormat="1" applyFont="1" applyFill="1" applyBorder="1"/>
    <xf numFmtId="0" fontId="3" fillId="0" borderId="21" xfId="0" applyFont="1" applyBorder="1" applyAlignment="1">
      <alignment horizontal="center" wrapText="1"/>
    </xf>
    <xf numFmtId="0" fontId="2" fillId="0" borderId="21" xfId="0" applyFont="1" applyBorder="1"/>
    <xf numFmtId="5" fontId="2" fillId="0" borderId="21" xfId="0" applyNumberFormat="1" applyFont="1" applyBorder="1" applyAlignment="1">
      <alignment vertical="center"/>
    </xf>
    <xf numFmtId="5" fontId="2" fillId="0" borderId="0" xfId="1" applyNumberFormat="1" applyFont="1" applyBorder="1" applyAlignment="1"/>
    <xf numFmtId="0" fontId="14" fillId="2" borderId="16" xfId="0" applyFont="1" applyFill="1" applyBorder="1"/>
    <xf numFmtId="5" fontId="3" fillId="2" borderId="18" xfId="3" applyNumberFormat="1" applyFont="1" applyFill="1" applyBorder="1"/>
    <xf numFmtId="5" fontId="14" fillId="2" borderId="19" xfId="3" applyNumberFormat="1" applyFont="1" applyFill="1" applyBorder="1"/>
    <xf numFmtId="0" fontId="14" fillId="2" borderId="25" xfId="0" applyFont="1" applyFill="1" applyBorder="1"/>
    <xf numFmtId="0" fontId="14" fillId="2" borderId="19" xfId="0" applyFont="1" applyFill="1" applyBorder="1"/>
    <xf numFmtId="0" fontId="14" fillId="2" borderId="36" xfId="0" applyFont="1" applyFill="1" applyBorder="1"/>
    <xf numFmtId="5" fontId="2" fillId="2" borderId="21" xfId="0" applyNumberFormat="1" applyFont="1" applyFill="1" applyBorder="1" applyAlignment="1">
      <alignment vertical="center"/>
    </xf>
    <xf numFmtId="0" fontId="11" fillId="2" borderId="20" xfId="0" applyFont="1" applyFill="1" applyBorder="1"/>
    <xf numFmtId="5" fontId="3" fillId="0" borderId="22" xfId="0" applyNumberFormat="1" applyFont="1" applyFill="1" applyBorder="1" applyAlignment="1">
      <alignment horizontal="center"/>
    </xf>
    <xf numFmtId="5" fontId="3" fillId="0" borderId="23" xfId="0" applyNumberFormat="1" applyFont="1" applyFill="1" applyBorder="1" applyAlignment="1">
      <alignment horizontal="center"/>
    </xf>
    <xf numFmtId="5" fontId="3" fillId="0" borderId="26" xfId="0" applyNumberFormat="1" applyFont="1" applyFill="1" applyBorder="1" applyAlignment="1">
      <alignment horizontal="center"/>
    </xf>
    <xf numFmtId="5" fontId="2" fillId="7" borderId="13" xfId="0" applyNumberFormat="1" applyFont="1" applyFill="1" applyBorder="1" applyAlignment="1">
      <alignment horizontal="center" vertical="center"/>
    </xf>
    <xf numFmtId="5" fontId="2" fillId="7" borderId="14" xfId="0" applyNumberFormat="1" applyFont="1" applyFill="1" applyBorder="1" applyAlignment="1">
      <alignment horizontal="center" vertical="center"/>
    </xf>
    <xf numFmtId="5" fontId="2" fillId="7" borderId="1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5" fontId="11" fillId="2" borderId="16" xfId="3" applyNumberFormat="1" applyFont="1" applyFill="1" applyBorder="1"/>
    <xf numFmtId="5" fontId="2" fillId="2" borderId="18" xfId="3" applyNumberFormat="1" applyFont="1" applyFill="1" applyBorder="1"/>
    <xf numFmtId="5" fontId="11" fillId="2" borderId="19" xfId="3" applyNumberFormat="1" applyFont="1" applyFill="1" applyBorder="1"/>
    <xf numFmtId="5" fontId="2" fillId="2" borderId="25" xfId="3" applyNumberFormat="1" applyFont="1" applyFill="1" applyBorder="1"/>
    <xf numFmtId="5" fontId="11" fillId="2" borderId="20" xfId="3" applyNumberFormat="1" applyFont="1" applyFill="1" applyBorder="1"/>
    <xf numFmtId="5" fontId="2" fillId="2" borderId="36" xfId="3" applyNumberFormat="1" applyFont="1" applyFill="1" applyBorder="1"/>
    <xf numFmtId="5" fontId="11" fillId="0" borderId="0" xfId="0" applyNumberFormat="1" applyFont="1" applyFill="1" applyAlignment="1">
      <alignment horizontal="center"/>
    </xf>
    <xf numFmtId="5" fontId="7" fillId="10" borderId="19" xfId="0" applyNumberFormat="1" applyFont="1" applyFill="1" applyBorder="1"/>
  </cellXfs>
  <cellStyles count="4">
    <cellStyle name="Monétaire" xfId="1" builtinId="4"/>
    <cellStyle name="Monétaire 2" xfId="3" xr:uid="{682D69A6-9CD0-4BE9-8266-0AE8BE6872D8}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colors>
    <mruColors>
      <color rgb="FFB9CDE5"/>
      <color rgb="FF00B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282925</xdr:colOff>
      <xdr:row>17</xdr:row>
      <xdr:rowOff>7327</xdr:rowOff>
    </xdr:from>
    <xdr:to>
      <xdr:col>3</xdr:col>
      <xdr:colOff>282925</xdr:colOff>
      <xdr:row>31</xdr:row>
      <xdr:rowOff>7327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A3D0B2A9-5E44-44F9-B5C3-967CC01731A7}"/>
            </a:ext>
          </a:extLst>
        </xdr:cNvPr>
        <xdr:cNvCxnSpPr/>
      </xdr:nvCxnSpPr>
      <xdr:spPr>
        <a:xfrm>
          <a:off x="2642194" y="2483827"/>
          <a:ext cx="0" cy="2667000"/>
        </a:xfrm>
        <a:prstGeom prst="straightConnector1">
          <a:avLst/>
        </a:prstGeom>
        <a:ln w="6350" cap="flat">
          <a:prstDash val="dash"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453259</xdr:colOff>
      <xdr:row>56</xdr:row>
      <xdr:rowOff>13138</xdr:rowOff>
    </xdr:from>
    <xdr:to>
      <xdr:col>5</xdr:col>
      <xdr:colOff>801414</xdr:colOff>
      <xdr:row>57</xdr:row>
      <xdr:rowOff>13138</xdr:rowOff>
    </xdr:to>
    <xdr:cxnSp macro="">
      <xdr:nvCxnSpPr>
        <xdr:cNvPr id="32" name="Connecteur droit avec flèche 31">
          <a:extLst>
            <a:ext uri="{FF2B5EF4-FFF2-40B4-BE49-F238E27FC236}">
              <a16:creationId xmlns:a16="http://schemas.microsoft.com/office/drawing/2014/main" id="{7564E72C-D280-4F53-A9F9-BBD5078ECE40}"/>
            </a:ext>
          </a:extLst>
        </xdr:cNvPr>
        <xdr:cNvCxnSpPr/>
      </xdr:nvCxnSpPr>
      <xdr:spPr>
        <a:xfrm flipH="1">
          <a:off x="5563914" y="10510345"/>
          <a:ext cx="348155" cy="190500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488156</xdr:colOff>
      <xdr:row>41</xdr:row>
      <xdr:rowOff>154781</xdr:rowOff>
    </xdr:from>
    <xdr:to>
      <xdr:col>6</xdr:col>
      <xdr:colOff>425862</xdr:colOff>
      <xdr:row>51</xdr:row>
      <xdr:rowOff>167873</xdr:rowOff>
    </xdr:to>
    <xdr:cxnSp macro="">
      <xdr:nvCxnSpPr>
        <xdr:cNvPr id="38" name="Connecteur droit avec flèche 37">
          <a:extLst>
            <a:ext uri="{FF2B5EF4-FFF2-40B4-BE49-F238E27FC236}">
              <a16:creationId xmlns:a16="http://schemas.microsoft.com/office/drawing/2014/main" id="{031C1A3E-0075-4907-BF0C-9C7B295D2691}"/>
            </a:ext>
          </a:extLst>
        </xdr:cNvPr>
        <xdr:cNvCxnSpPr/>
      </xdr:nvCxnSpPr>
      <xdr:spPr>
        <a:xfrm flipH="1" flipV="1">
          <a:off x="4780359" y="8376047"/>
          <a:ext cx="949737" cy="2108592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972207</xdr:colOff>
      <xdr:row>51</xdr:row>
      <xdr:rowOff>168519</xdr:rowOff>
    </xdr:from>
    <xdr:to>
      <xdr:col>6</xdr:col>
      <xdr:colOff>918241</xdr:colOff>
      <xdr:row>53</xdr:row>
      <xdr:rowOff>21980</xdr:rowOff>
    </xdr:to>
    <xdr:sp macro="" textlink="">
      <xdr:nvSpPr>
        <xdr:cNvPr id="12" name="Ellipse 11">
          <a:extLst>
            <a:ext uri="{FF2B5EF4-FFF2-40B4-BE49-F238E27FC236}">
              <a16:creationId xmlns:a16="http://schemas.microsoft.com/office/drawing/2014/main" id="{1DA08CDC-F40B-4DA5-ACF8-8897EFB7A415}"/>
            </a:ext>
          </a:extLst>
        </xdr:cNvPr>
        <xdr:cNvSpPr/>
      </xdr:nvSpPr>
      <xdr:spPr>
        <a:xfrm>
          <a:off x="5258457" y="9722827"/>
          <a:ext cx="957149" cy="234461"/>
        </a:xfrm>
        <a:prstGeom prst="ellipse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388327</xdr:colOff>
      <xdr:row>53</xdr:row>
      <xdr:rowOff>21980</xdr:rowOff>
    </xdr:from>
    <xdr:to>
      <xdr:col>5</xdr:col>
      <xdr:colOff>439414</xdr:colOff>
      <xdr:row>55</xdr:row>
      <xdr:rowOff>7328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5501BA59-F68F-4AF8-8D72-72D5AE5C8269}"/>
            </a:ext>
          </a:extLst>
        </xdr:cNvPr>
        <xdr:cNvCxnSpPr>
          <a:endCxn id="10" idx="4"/>
        </xdr:cNvCxnSpPr>
      </xdr:nvCxnSpPr>
      <xdr:spPr>
        <a:xfrm flipV="1">
          <a:off x="4677861" y="10716256"/>
          <a:ext cx="51087" cy="366348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972207</xdr:colOff>
      <xdr:row>51</xdr:row>
      <xdr:rowOff>168519</xdr:rowOff>
    </xdr:from>
    <xdr:to>
      <xdr:col>5</xdr:col>
      <xdr:colOff>918241</xdr:colOff>
      <xdr:row>53</xdr:row>
      <xdr:rowOff>21980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8353B91A-17E2-4515-942F-A770FF03C298}"/>
            </a:ext>
          </a:extLst>
        </xdr:cNvPr>
        <xdr:cNvSpPr/>
      </xdr:nvSpPr>
      <xdr:spPr>
        <a:xfrm>
          <a:off x="4250121" y="10481795"/>
          <a:ext cx="957654" cy="234461"/>
        </a:xfrm>
        <a:prstGeom prst="ellipse">
          <a:avLst/>
        </a:prstGeom>
        <a:noFill/>
        <a:ln w="9525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646871</xdr:colOff>
      <xdr:row>132</xdr:row>
      <xdr:rowOff>175462</xdr:rowOff>
    </xdr:from>
    <xdr:to>
      <xdr:col>4</xdr:col>
      <xdr:colOff>916198</xdr:colOff>
      <xdr:row>141</xdr:row>
      <xdr:rowOff>57219</xdr:rowOff>
    </xdr:to>
    <xdr:cxnSp macro="">
      <xdr:nvCxnSpPr>
        <xdr:cNvPr id="15" name="Connecteur droit avec flèche 14">
          <a:extLst>
            <a:ext uri="{FF2B5EF4-FFF2-40B4-BE49-F238E27FC236}">
              <a16:creationId xmlns:a16="http://schemas.microsoft.com/office/drawing/2014/main" id="{3C03BCB7-824A-4B5F-AF00-FF02324DE3D2}"/>
            </a:ext>
          </a:extLst>
        </xdr:cNvPr>
        <xdr:cNvCxnSpPr/>
      </xdr:nvCxnSpPr>
      <xdr:spPr>
        <a:xfrm flipH="1" flipV="1">
          <a:off x="3920463" y="25371594"/>
          <a:ext cx="269327" cy="1596257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275896</xdr:colOff>
      <xdr:row>80</xdr:row>
      <xdr:rowOff>85396</xdr:rowOff>
    </xdr:from>
    <xdr:to>
      <xdr:col>5</xdr:col>
      <xdr:colOff>381000</xdr:colOff>
      <xdr:row>87</xdr:row>
      <xdr:rowOff>177365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A6E89017-8BF6-4F17-9F8B-1DC8420A5C0A}"/>
            </a:ext>
          </a:extLst>
        </xdr:cNvPr>
        <xdr:cNvCxnSpPr/>
      </xdr:nvCxnSpPr>
      <xdr:spPr>
        <a:xfrm flipV="1">
          <a:off x="3553810" y="15180879"/>
          <a:ext cx="1116724" cy="1425469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132</xdr:row>
      <xdr:rowOff>98534</xdr:rowOff>
    </xdr:from>
    <xdr:to>
      <xdr:col>6</xdr:col>
      <xdr:colOff>532087</xdr:colOff>
      <xdr:row>145</xdr:row>
      <xdr:rowOff>170793</xdr:rowOff>
    </xdr:to>
    <xdr:cxnSp macro="">
      <xdr:nvCxnSpPr>
        <xdr:cNvPr id="22" name="Connecteur droit avec flèche 21">
          <a:extLst>
            <a:ext uri="{FF2B5EF4-FFF2-40B4-BE49-F238E27FC236}">
              <a16:creationId xmlns:a16="http://schemas.microsoft.com/office/drawing/2014/main" id="{9930D4C1-9E9A-4709-ADA3-E09153B715BE}"/>
            </a:ext>
          </a:extLst>
        </xdr:cNvPr>
        <xdr:cNvCxnSpPr/>
      </xdr:nvCxnSpPr>
      <xdr:spPr>
        <a:xfrm flipH="1" flipV="1">
          <a:off x="5301155" y="22814017"/>
          <a:ext cx="532087" cy="2548759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906518</xdr:colOff>
      <xdr:row>62</xdr:row>
      <xdr:rowOff>85397</xdr:rowOff>
    </xdr:from>
    <xdr:to>
      <xdr:col>4</xdr:col>
      <xdr:colOff>939362</xdr:colOff>
      <xdr:row>74</xdr:row>
      <xdr:rowOff>105103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89C77D61-1335-43C8-A12F-2C386AA1D417}"/>
            </a:ext>
          </a:extLst>
        </xdr:cNvPr>
        <xdr:cNvCxnSpPr/>
      </xdr:nvCxnSpPr>
      <xdr:spPr>
        <a:xfrm flipH="1" flipV="1">
          <a:off x="3271346" y="11732173"/>
          <a:ext cx="945930" cy="2305706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781707</xdr:colOff>
      <xdr:row>81</xdr:row>
      <xdr:rowOff>0</xdr:rowOff>
    </xdr:from>
    <xdr:to>
      <xdr:col>4</xdr:col>
      <xdr:colOff>781707</xdr:colOff>
      <xdr:row>82</xdr:row>
      <xdr:rowOff>1</xdr:rowOff>
    </xdr:to>
    <xdr:cxnSp macro="">
      <xdr:nvCxnSpPr>
        <xdr:cNvPr id="17" name="Connecteur droit avec flèche 16">
          <a:extLst>
            <a:ext uri="{FF2B5EF4-FFF2-40B4-BE49-F238E27FC236}">
              <a16:creationId xmlns:a16="http://schemas.microsoft.com/office/drawing/2014/main" id="{E6FFE88F-A1BD-4CA6-AFA5-FCC29CC607BC}"/>
            </a:ext>
          </a:extLst>
        </xdr:cNvPr>
        <xdr:cNvCxnSpPr/>
      </xdr:nvCxnSpPr>
      <xdr:spPr>
        <a:xfrm flipV="1">
          <a:off x="4059621" y="15285983"/>
          <a:ext cx="0" cy="190501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65689</xdr:colOff>
      <xdr:row>7</xdr:row>
      <xdr:rowOff>41336</xdr:rowOff>
    </xdr:from>
    <xdr:to>
      <xdr:col>7</xdr:col>
      <xdr:colOff>184901</xdr:colOff>
      <xdr:row>7</xdr:row>
      <xdr:rowOff>151919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7F868805-DA92-497A-9120-46A0988C8D18}"/>
            </a:ext>
          </a:extLst>
        </xdr:cNvPr>
        <xdr:cNvSpPr/>
      </xdr:nvSpPr>
      <xdr:spPr>
        <a:xfrm>
          <a:off x="6310372" y="1374836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65689</xdr:colOff>
      <xdr:row>10</xdr:row>
      <xdr:rowOff>45982</xdr:rowOff>
    </xdr:from>
    <xdr:to>
      <xdr:col>7</xdr:col>
      <xdr:colOff>184901</xdr:colOff>
      <xdr:row>10</xdr:row>
      <xdr:rowOff>156565</xdr:rowOff>
    </xdr:to>
    <xdr:sp macro="" textlink="">
      <xdr:nvSpPr>
        <xdr:cNvPr id="18" name="Ellipse 17">
          <a:extLst>
            <a:ext uri="{FF2B5EF4-FFF2-40B4-BE49-F238E27FC236}">
              <a16:creationId xmlns:a16="http://schemas.microsoft.com/office/drawing/2014/main" id="{9A69DFFC-0EEA-44DC-BB26-7C23DA5A3E4C}"/>
            </a:ext>
          </a:extLst>
        </xdr:cNvPr>
        <xdr:cNvSpPr/>
      </xdr:nvSpPr>
      <xdr:spPr>
        <a:xfrm>
          <a:off x="6310372" y="1950982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65689</xdr:colOff>
      <xdr:row>13</xdr:row>
      <xdr:rowOff>138910</xdr:rowOff>
    </xdr:from>
    <xdr:to>
      <xdr:col>7</xdr:col>
      <xdr:colOff>184901</xdr:colOff>
      <xdr:row>14</xdr:row>
      <xdr:rowOff>58993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119F57C7-3B05-49D7-B486-E3E87C5F415A}"/>
            </a:ext>
          </a:extLst>
        </xdr:cNvPr>
        <xdr:cNvSpPr/>
      </xdr:nvSpPr>
      <xdr:spPr>
        <a:xfrm>
          <a:off x="6310372" y="2615410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644083</xdr:colOff>
      <xdr:row>60</xdr:row>
      <xdr:rowOff>45118</xdr:rowOff>
    </xdr:from>
    <xdr:to>
      <xdr:col>2</xdr:col>
      <xdr:colOff>763295</xdr:colOff>
      <xdr:row>60</xdr:row>
      <xdr:rowOff>155701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C8C8B2E6-A907-4356-986A-D63C7C09B585}"/>
            </a:ext>
          </a:extLst>
        </xdr:cNvPr>
        <xdr:cNvSpPr/>
      </xdr:nvSpPr>
      <xdr:spPr>
        <a:xfrm>
          <a:off x="2168083" y="11690466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</xdr:col>
      <xdr:colOff>333267</xdr:colOff>
      <xdr:row>118</xdr:row>
      <xdr:rowOff>40105</xdr:rowOff>
    </xdr:from>
    <xdr:to>
      <xdr:col>3</xdr:col>
      <xdr:colOff>452479</xdr:colOff>
      <xdr:row>118</xdr:row>
      <xdr:rowOff>150688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3718B7A2-CE71-4684-95EF-1956661735AF}"/>
            </a:ext>
          </a:extLst>
        </xdr:cNvPr>
        <xdr:cNvSpPr/>
      </xdr:nvSpPr>
      <xdr:spPr>
        <a:xfrm>
          <a:off x="2693810" y="22560518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</xdr:col>
      <xdr:colOff>513069</xdr:colOff>
      <xdr:row>91</xdr:row>
      <xdr:rowOff>44286</xdr:rowOff>
    </xdr:from>
    <xdr:to>
      <xdr:col>1</xdr:col>
      <xdr:colOff>632281</xdr:colOff>
      <xdr:row>91</xdr:row>
      <xdr:rowOff>154869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27086581-E165-4537-8F38-17E7F94A2633}"/>
            </a:ext>
          </a:extLst>
        </xdr:cNvPr>
        <xdr:cNvSpPr/>
      </xdr:nvSpPr>
      <xdr:spPr>
        <a:xfrm>
          <a:off x="1043156" y="17611699"/>
          <a:ext cx="119212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71273</xdr:colOff>
      <xdr:row>99</xdr:row>
      <xdr:rowOff>45119</xdr:rowOff>
    </xdr:from>
    <xdr:to>
      <xdr:col>2</xdr:col>
      <xdr:colOff>191793</xdr:colOff>
      <xdr:row>99</xdr:row>
      <xdr:rowOff>155702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8E2E8683-B12F-4DDD-9719-3F886927FD46}"/>
            </a:ext>
          </a:extLst>
        </xdr:cNvPr>
        <xdr:cNvSpPr/>
      </xdr:nvSpPr>
      <xdr:spPr>
        <a:xfrm>
          <a:off x="1595273" y="19136532"/>
          <a:ext cx="1205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</xdr:col>
      <xdr:colOff>471909</xdr:colOff>
      <xdr:row>50</xdr:row>
      <xdr:rowOff>0</xdr:rowOff>
    </xdr:from>
    <xdr:to>
      <xdr:col>3</xdr:col>
      <xdr:colOff>471909</xdr:colOff>
      <xdr:row>51</xdr:row>
      <xdr:rowOff>4329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AFBEF36B-B820-48AE-8186-07682D0923E7}"/>
            </a:ext>
          </a:extLst>
        </xdr:cNvPr>
        <xdr:cNvCxnSpPr/>
      </xdr:nvCxnSpPr>
      <xdr:spPr>
        <a:xfrm>
          <a:off x="2835841" y="8416638"/>
          <a:ext cx="0" cy="1523998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2787</xdr:colOff>
      <xdr:row>43</xdr:row>
      <xdr:rowOff>5953</xdr:rowOff>
    </xdr:from>
    <xdr:to>
      <xdr:col>6</xdr:col>
      <xdr:colOff>2787</xdr:colOff>
      <xdr:row>44</xdr:row>
      <xdr:rowOff>186447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3D12AD7C-E9CF-4C58-A6C5-E11F0BBEAFC4}"/>
            </a:ext>
          </a:extLst>
        </xdr:cNvPr>
        <xdr:cNvCxnSpPr/>
      </xdr:nvCxnSpPr>
      <xdr:spPr>
        <a:xfrm>
          <a:off x="5300308" y="8606825"/>
          <a:ext cx="0" cy="370994"/>
        </a:xfrm>
        <a:prstGeom prst="straightConnector1">
          <a:avLst/>
        </a:prstGeom>
        <a:ln w="6350" cap="flat">
          <a:prstDash val="solid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441904</xdr:colOff>
      <xdr:row>48</xdr:row>
      <xdr:rowOff>160734</xdr:rowOff>
    </xdr:from>
    <xdr:to>
      <xdr:col>5</xdr:col>
      <xdr:colOff>470297</xdr:colOff>
      <xdr:row>51</xdr:row>
      <xdr:rowOff>156155</xdr:rowOff>
    </xdr:to>
    <xdr:cxnSp macro="">
      <xdr:nvCxnSpPr>
        <xdr:cNvPr id="26" name="Connecteur droit avec flèche 25">
          <a:extLst>
            <a:ext uri="{FF2B5EF4-FFF2-40B4-BE49-F238E27FC236}">
              <a16:creationId xmlns:a16="http://schemas.microsoft.com/office/drawing/2014/main" id="{60DE0AA9-6D18-4CA9-4890-D2F3BD0D90FC}"/>
            </a:ext>
          </a:extLst>
        </xdr:cNvPr>
        <xdr:cNvCxnSpPr/>
      </xdr:nvCxnSpPr>
      <xdr:spPr>
        <a:xfrm flipV="1">
          <a:off x="4734107" y="9715500"/>
          <a:ext cx="28393" cy="566921"/>
        </a:xfrm>
        <a:prstGeom prst="straightConnector1">
          <a:avLst/>
        </a:prstGeom>
        <a:ln w="6350" cap="flat">
          <a:prstDash val="dash"/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2"/>
  <sheetViews>
    <sheetView tabSelected="1" zoomScaleNormal="100" workbookViewId="0"/>
  </sheetViews>
  <sheetFormatPr baseColWidth="10" defaultRowHeight="15" customHeight="1" x14ac:dyDescent="0.25"/>
  <cols>
    <col min="1" max="1" width="6.21875" style="21" customWidth="1"/>
    <col min="2" max="2" width="11.5546875" style="21"/>
    <col min="3" max="3" width="9.77734375" style="21" customWidth="1"/>
    <col min="4" max="4" width="10.6640625" style="21" customWidth="1"/>
    <col min="5" max="6" width="11.77734375" style="21" customWidth="1"/>
    <col min="7" max="7" width="11.109375" style="14" customWidth="1"/>
    <col min="8" max="8" width="8.77734375" style="39" customWidth="1"/>
    <col min="9" max="16384" width="11.5546875" style="21"/>
  </cols>
  <sheetData>
    <row r="1" spans="1:8" ht="15" customHeight="1" x14ac:dyDescent="0.25">
      <c r="A1" s="39" t="s">
        <v>158</v>
      </c>
      <c r="B1" s="37"/>
      <c r="C1" s="37"/>
      <c r="D1" s="37"/>
      <c r="E1" s="37"/>
      <c r="F1" s="37"/>
      <c r="G1" s="37"/>
    </row>
    <row r="2" spans="1:8" ht="15" customHeight="1" x14ac:dyDescent="0.25">
      <c r="B2" s="37"/>
      <c r="C2" s="37"/>
      <c r="D2" s="37"/>
      <c r="E2" s="37"/>
      <c r="F2" s="37"/>
      <c r="G2" s="37"/>
    </row>
    <row r="3" spans="1:8" ht="15" customHeight="1" x14ac:dyDescent="0.25">
      <c r="A3" s="40" t="s">
        <v>139</v>
      </c>
    </row>
    <row r="4" spans="1:8" ht="15" customHeight="1" x14ac:dyDescent="0.25">
      <c r="A4" s="40"/>
    </row>
    <row r="5" spans="1:8" ht="15" customHeight="1" x14ac:dyDescent="0.25">
      <c r="D5" s="37"/>
      <c r="E5" s="37"/>
      <c r="F5" s="37"/>
      <c r="G5" s="38"/>
    </row>
    <row r="6" spans="1:8" ht="15" customHeight="1" x14ac:dyDescent="0.25">
      <c r="A6" s="21" t="s">
        <v>51</v>
      </c>
      <c r="D6" s="83"/>
      <c r="E6" s="83"/>
      <c r="F6" s="83"/>
      <c r="G6" s="84"/>
      <c r="H6" s="89"/>
    </row>
    <row r="7" spans="1:8" ht="15" customHeight="1" x14ac:dyDescent="0.25">
      <c r="A7" s="41" t="s">
        <v>48</v>
      </c>
      <c r="D7" s="53"/>
      <c r="E7" s="53"/>
      <c r="F7" s="53"/>
      <c r="G7" s="85"/>
    </row>
    <row r="8" spans="1:8" ht="15" customHeight="1" x14ac:dyDescent="0.25">
      <c r="A8" s="42" t="s">
        <v>50</v>
      </c>
      <c r="D8" s="86"/>
      <c r="E8" s="86"/>
      <c r="F8" s="86"/>
      <c r="G8" s="122">
        <v>220000</v>
      </c>
    </row>
    <row r="9" spans="1:8" ht="15" customHeight="1" x14ac:dyDescent="0.25">
      <c r="A9" s="42"/>
      <c r="D9" s="86"/>
      <c r="E9" s="86"/>
      <c r="F9" s="86"/>
      <c r="G9" s="86"/>
    </row>
    <row r="10" spans="1:8" ht="15" customHeight="1" x14ac:dyDescent="0.25">
      <c r="A10" s="41" t="s">
        <v>136</v>
      </c>
      <c r="D10" s="53"/>
      <c r="E10" s="53"/>
      <c r="F10" s="53"/>
      <c r="G10" s="85"/>
    </row>
    <row r="11" spans="1:8" ht="15" customHeight="1" x14ac:dyDescent="0.25">
      <c r="A11" s="42" t="s">
        <v>137</v>
      </c>
      <c r="D11" s="86"/>
      <c r="E11" s="86"/>
      <c r="F11" s="86"/>
      <c r="G11" s="172">
        <f>-D113</f>
        <v>160000</v>
      </c>
    </row>
    <row r="12" spans="1:8" ht="15" customHeight="1" x14ac:dyDescent="0.25">
      <c r="D12" s="85"/>
      <c r="E12" s="85"/>
      <c r="F12" s="85"/>
      <c r="G12" s="85"/>
    </row>
    <row r="13" spans="1:8" ht="15" customHeight="1" x14ac:dyDescent="0.25">
      <c r="A13" s="41" t="s">
        <v>49</v>
      </c>
      <c r="D13" s="85"/>
      <c r="E13" s="85"/>
      <c r="F13" s="85"/>
      <c r="G13" s="85"/>
    </row>
    <row r="14" spans="1:8" ht="15" customHeight="1" x14ac:dyDescent="0.25">
      <c r="A14" s="42" t="s">
        <v>140</v>
      </c>
      <c r="D14" s="85"/>
      <c r="E14" s="85"/>
      <c r="F14" s="85"/>
      <c r="G14" s="122">
        <f>36000*1.38</f>
        <v>49679.999999999993</v>
      </c>
    </row>
    <row r="15" spans="1:8" ht="15" customHeight="1" x14ac:dyDescent="0.25">
      <c r="A15" s="42" t="s">
        <v>92</v>
      </c>
      <c r="D15" s="85"/>
      <c r="E15" s="85"/>
      <c r="F15" s="85"/>
      <c r="G15" s="122">
        <v>11500</v>
      </c>
    </row>
    <row r="16" spans="1:8" ht="15" customHeight="1" thickBot="1" x14ac:dyDescent="0.3">
      <c r="A16" s="42"/>
      <c r="D16" s="86"/>
      <c r="E16" s="86"/>
      <c r="F16" s="86"/>
    </row>
    <row r="17" spans="1:8" ht="15" customHeight="1" x14ac:dyDescent="0.25">
      <c r="A17" s="138" t="s">
        <v>77</v>
      </c>
      <c r="B17" s="125"/>
      <c r="C17" s="125"/>
      <c r="D17" s="126" t="s">
        <v>91</v>
      </c>
      <c r="E17" s="126"/>
      <c r="F17" s="126"/>
      <c r="G17" s="126"/>
      <c r="H17" s="127"/>
    </row>
    <row r="18" spans="1:8" ht="15" customHeight="1" x14ac:dyDescent="0.25">
      <c r="A18" s="128" t="s">
        <v>75</v>
      </c>
      <c r="B18" s="51"/>
      <c r="C18" s="51"/>
      <c r="D18" s="85"/>
      <c r="E18" s="85"/>
      <c r="F18" s="85"/>
      <c r="G18" s="85"/>
      <c r="H18" s="129"/>
    </row>
    <row r="19" spans="1:8" ht="15" customHeight="1" x14ac:dyDescent="0.25">
      <c r="A19" s="128" t="s">
        <v>87</v>
      </c>
      <c r="C19" s="51"/>
      <c r="D19" s="85"/>
      <c r="E19" s="124">
        <f>+H116</f>
        <v>95132.960674157308</v>
      </c>
      <c r="F19" s="85"/>
      <c r="G19" s="85"/>
      <c r="H19" s="129"/>
    </row>
    <row r="20" spans="1:8" ht="15" customHeight="1" x14ac:dyDescent="0.25">
      <c r="A20" s="128" t="s">
        <v>88</v>
      </c>
      <c r="C20" s="51"/>
      <c r="D20" s="85"/>
      <c r="E20" s="123" t="s">
        <v>78</v>
      </c>
      <c r="F20" s="85"/>
      <c r="G20" s="85"/>
      <c r="H20" s="129"/>
    </row>
    <row r="21" spans="1:8" ht="15" customHeight="1" x14ac:dyDescent="0.25">
      <c r="A21" s="128" t="s">
        <v>89</v>
      </c>
      <c r="C21" s="51"/>
      <c r="D21" s="85"/>
      <c r="E21" s="124">
        <f>+H126</f>
        <v>150</v>
      </c>
      <c r="F21" s="121">
        <f>+E19+E21</f>
        <v>95282.960674157308</v>
      </c>
      <c r="G21" s="85"/>
      <c r="H21" s="129"/>
    </row>
    <row r="22" spans="1:8" ht="15" customHeight="1" x14ac:dyDescent="0.25">
      <c r="A22" s="128"/>
      <c r="B22" s="51"/>
      <c r="C22" s="51"/>
      <c r="D22" s="85"/>
      <c r="E22" s="85"/>
      <c r="F22" s="85"/>
      <c r="G22" s="85"/>
      <c r="H22" s="129"/>
    </row>
    <row r="23" spans="1:8" ht="15" customHeight="1" x14ac:dyDescent="0.25">
      <c r="A23" s="128" t="s">
        <v>79</v>
      </c>
      <c r="B23" s="51"/>
      <c r="C23" s="51"/>
      <c r="D23" s="85"/>
      <c r="E23" s="124">
        <f>-H148</f>
        <v>9722.5</v>
      </c>
      <c r="F23" s="123" t="s">
        <v>80</v>
      </c>
      <c r="G23" s="85"/>
      <c r="H23" s="129"/>
    </row>
    <row r="24" spans="1:8" ht="15" customHeight="1" x14ac:dyDescent="0.25">
      <c r="A24" s="130" t="s">
        <v>80</v>
      </c>
      <c r="B24" s="53"/>
      <c r="C24" s="51"/>
      <c r="D24" s="85"/>
      <c r="E24" s="123" t="s">
        <v>80</v>
      </c>
      <c r="F24" s="85"/>
      <c r="G24" s="85"/>
      <c r="H24" s="129"/>
    </row>
    <row r="25" spans="1:8" ht="15" customHeight="1" thickBot="1" x14ac:dyDescent="0.3">
      <c r="A25" s="131" t="s">
        <v>76</v>
      </c>
      <c r="B25" s="132"/>
      <c r="C25" s="132"/>
      <c r="D25" s="133"/>
      <c r="E25" s="134">
        <f>+H151</f>
        <v>0</v>
      </c>
      <c r="F25" s="135">
        <f>+E23-E25</f>
        <v>9722.5</v>
      </c>
      <c r="G25" s="135">
        <f>+F21-F25</f>
        <v>85560.460674157308</v>
      </c>
      <c r="H25" s="136"/>
    </row>
    <row r="26" spans="1:8" ht="15" customHeight="1" x14ac:dyDescent="0.25">
      <c r="D26" s="85"/>
      <c r="E26" s="85"/>
      <c r="F26" s="85"/>
      <c r="G26" s="85"/>
    </row>
    <row r="27" spans="1:8" ht="15" customHeight="1" x14ac:dyDescent="0.25">
      <c r="A27" s="21" t="s">
        <v>45</v>
      </c>
      <c r="D27" s="85"/>
      <c r="E27" s="85"/>
      <c r="F27" s="85"/>
      <c r="G27" s="121"/>
    </row>
    <row r="28" spans="1:8" ht="15" customHeight="1" x14ac:dyDescent="0.25">
      <c r="A28" s="21" t="s">
        <v>46</v>
      </c>
      <c r="D28" s="85"/>
      <c r="E28" s="85"/>
      <c r="F28" s="85"/>
      <c r="G28" s="121"/>
    </row>
    <row r="29" spans="1:8" ht="15" customHeight="1" thickBot="1" x14ac:dyDescent="0.3">
      <c r="B29" s="43"/>
      <c r="C29" s="43"/>
      <c r="D29" s="85"/>
      <c r="E29" s="85"/>
      <c r="F29" s="43" t="s">
        <v>47</v>
      </c>
      <c r="G29" s="82">
        <f>SUM(G8:G28)</f>
        <v>526740.46067415737</v>
      </c>
    </row>
    <row r="30" spans="1:8" ht="15" customHeight="1" thickTop="1" x14ac:dyDescent="0.25">
      <c r="A30" s="40"/>
      <c r="D30" s="85"/>
      <c r="E30" s="85"/>
      <c r="F30" s="85"/>
    </row>
    <row r="31" spans="1:8" ht="15" customHeight="1" x14ac:dyDescent="0.25">
      <c r="A31" s="40"/>
    </row>
    <row r="32" spans="1:8" ht="15" customHeight="1" x14ac:dyDescent="0.25">
      <c r="A32" s="46" t="s">
        <v>90</v>
      </c>
      <c r="C32" s="1"/>
      <c r="D32" s="45"/>
      <c r="E32" s="8"/>
      <c r="F32" s="45"/>
      <c r="G32" s="45"/>
    </row>
    <row r="33" spans="1:8" ht="47.25" x14ac:dyDescent="0.25">
      <c r="A33" s="57"/>
      <c r="B33" s="57"/>
      <c r="C33" s="57"/>
      <c r="D33" s="57"/>
      <c r="E33" s="57"/>
      <c r="F33" s="57"/>
      <c r="G33" s="57"/>
      <c r="H33" s="54" t="s">
        <v>52</v>
      </c>
    </row>
    <row r="34" spans="1:8" ht="15" customHeight="1" x14ac:dyDescent="0.25">
      <c r="A34" s="188" t="s">
        <v>53</v>
      </c>
      <c r="B34" s="189"/>
      <c r="C34" s="189"/>
      <c r="D34" s="189"/>
      <c r="E34" s="189"/>
      <c r="F34" s="189"/>
      <c r="G34" s="189"/>
      <c r="H34" s="190"/>
    </row>
    <row r="35" spans="1:8" ht="15" customHeight="1" x14ac:dyDescent="0.25">
      <c r="A35" s="57"/>
      <c r="B35" s="57"/>
      <c r="C35" s="57"/>
      <c r="D35" s="57"/>
      <c r="E35" s="57"/>
      <c r="F35" s="57"/>
      <c r="G35" s="57"/>
      <c r="H35" s="108"/>
    </row>
    <row r="36" spans="1:8" ht="15" customHeight="1" x14ac:dyDescent="0.25">
      <c r="A36" s="60" t="s">
        <v>93</v>
      </c>
      <c r="B36" s="57"/>
      <c r="C36" s="57"/>
      <c r="D36" s="57"/>
      <c r="E36" s="57"/>
      <c r="F36" s="57"/>
      <c r="G36" s="51"/>
      <c r="H36" s="109"/>
    </row>
    <row r="37" spans="1:8" ht="15" customHeight="1" x14ac:dyDescent="0.25">
      <c r="A37" s="61" t="s">
        <v>81</v>
      </c>
      <c r="B37" s="57"/>
      <c r="C37" s="57"/>
      <c r="D37" s="57"/>
      <c r="E37" s="57"/>
      <c r="F37" s="57"/>
      <c r="G37" s="52"/>
      <c r="H37" s="109"/>
    </row>
    <row r="38" spans="1:8" ht="15" customHeight="1" x14ac:dyDescent="0.25">
      <c r="A38" s="61"/>
      <c r="B38" s="57"/>
      <c r="C38" s="57"/>
      <c r="D38" s="57"/>
      <c r="E38" s="57"/>
      <c r="F38" s="57"/>
      <c r="G38" s="52"/>
      <c r="H38" s="109"/>
    </row>
    <row r="39" spans="1:8" ht="15" customHeight="1" x14ac:dyDescent="0.25">
      <c r="A39" s="62" t="s">
        <v>157</v>
      </c>
      <c r="B39" s="63"/>
      <c r="C39" s="63"/>
      <c r="D39" s="63"/>
      <c r="E39" s="64"/>
      <c r="F39" s="180" t="s">
        <v>96</v>
      </c>
      <c r="G39" s="181"/>
      <c r="H39" s="109"/>
    </row>
    <row r="40" spans="1:8" ht="15" customHeight="1" x14ac:dyDescent="0.25">
      <c r="A40" s="65" t="s">
        <v>143</v>
      </c>
      <c r="B40" s="66"/>
      <c r="C40" s="66"/>
      <c r="D40" s="66"/>
      <c r="E40" s="67">
        <f>(415000*1.25)-300000</f>
        <v>218750</v>
      </c>
      <c r="F40" s="182" t="s">
        <v>97</v>
      </c>
      <c r="G40" s="183"/>
      <c r="H40" s="109"/>
    </row>
    <row r="41" spans="1:8" ht="15" customHeight="1" x14ac:dyDescent="0.25">
      <c r="A41" s="65" t="s">
        <v>168</v>
      </c>
      <c r="B41" s="66"/>
      <c r="C41" s="66"/>
      <c r="D41" s="66"/>
      <c r="E41" s="67"/>
      <c r="F41" s="184" t="s">
        <v>98</v>
      </c>
      <c r="G41" s="183"/>
      <c r="H41" s="109"/>
    </row>
    <row r="42" spans="1:8" ht="15" customHeight="1" x14ac:dyDescent="0.25">
      <c r="A42" s="47" t="s">
        <v>161</v>
      </c>
      <c r="B42" s="48"/>
      <c r="C42" s="48"/>
      <c r="D42" s="66"/>
      <c r="E42" s="67"/>
      <c r="F42" s="184" t="s">
        <v>163</v>
      </c>
      <c r="G42" s="183"/>
      <c r="H42" s="109"/>
    </row>
    <row r="43" spans="1:8" ht="15" customHeight="1" x14ac:dyDescent="0.25">
      <c r="A43" s="65" t="s">
        <v>54</v>
      </c>
      <c r="B43" s="66"/>
      <c r="C43" s="66"/>
      <c r="D43" s="66"/>
      <c r="E43" s="87">
        <f>2025-2018+1</f>
        <v>8</v>
      </c>
      <c r="F43" s="187" t="s">
        <v>164</v>
      </c>
      <c r="G43" s="185"/>
      <c r="H43" s="109"/>
    </row>
    <row r="44" spans="1:8" ht="15" customHeight="1" x14ac:dyDescent="0.25">
      <c r="A44" s="69" t="s">
        <v>57</v>
      </c>
      <c r="B44" s="70"/>
      <c r="C44" s="70"/>
      <c r="D44" s="70"/>
      <c r="E44" s="71">
        <f>+E40/E43</f>
        <v>27343.75</v>
      </c>
      <c r="F44" s="72" t="s">
        <v>56</v>
      </c>
      <c r="G44" s="88"/>
      <c r="H44" s="110"/>
    </row>
    <row r="45" spans="1:8" ht="15" customHeight="1" x14ac:dyDescent="0.25">
      <c r="A45" s="66"/>
      <c r="B45" s="66"/>
      <c r="C45" s="66"/>
      <c r="D45" s="66"/>
      <c r="E45" s="66"/>
      <c r="F45" s="141"/>
      <c r="G45" s="52"/>
      <c r="H45" s="109"/>
    </row>
    <row r="46" spans="1:8" ht="15" customHeight="1" x14ac:dyDescent="0.25">
      <c r="A46" s="62" t="s">
        <v>156</v>
      </c>
      <c r="B46" s="63"/>
      <c r="C46" s="63"/>
      <c r="D46" s="63"/>
      <c r="E46" s="64"/>
      <c r="F46" s="195" t="s">
        <v>159</v>
      </c>
      <c r="G46" s="196"/>
      <c r="H46" s="109"/>
    </row>
    <row r="47" spans="1:8" ht="15" customHeight="1" x14ac:dyDescent="0.25">
      <c r="A47" s="65" t="s">
        <v>94</v>
      </c>
      <c r="B47" s="66"/>
      <c r="C47" s="66"/>
      <c r="D47" s="66"/>
      <c r="E47" s="67">
        <f>+D52+D53</f>
        <v>190000</v>
      </c>
      <c r="F47" s="197" t="s">
        <v>95</v>
      </c>
      <c r="G47" s="198"/>
      <c r="H47" s="109"/>
    </row>
    <row r="48" spans="1:8" ht="15" customHeight="1" x14ac:dyDescent="0.25">
      <c r="A48" s="47" t="s">
        <v>160</v>
      </c>
      <c r="B48" s="48"/>
      <c r="C48" s="48"/>
      <c r="D48" s="66"/>
      <c r="E48" s="67"/>
      <c r="F48" s="197" t="s">
        <v>99</v>
      </c>
      <c r="G48" s="198"/>
      <c r="H48" s="109"/>
    </row>
    <row r="49" spans="1:8" ht="15" customHeight="1" x14ac:dyDescent="0.25">
      <c r="A49" s="65" t="s">
        <v>54</v>
      </c>
      <c r="B49" s="66"/>
      <c r="C49" s="66"/>
      <c r="D49" s="68"/>
      <c r="E49" s="87">
        <f>2025-2010+1</f>
        <v>16</v>
      </c>
      <c r="F49" s="199" t="s">
        <v>162</v>
      </c>
      <c r="G49" s="200"/>
      <c r="H49" s="109"/>
    </row>
    <row r="50" spans="1:8" ht="15" customHeight="1" x14ac:dyDescent="0.25">
      <c r="A50" s="69" t="s">
        <v>55</v>
      </c>
      <c r="B50" s="70"/>
      <c r="C50" s="70"/>
      <c r="D50" s="70"/>
      <c r="E50" s="81">
        <f>+E47/E49</f>
        <v>11875</v>
      </c>
      <c r="F50" s="141"/>
      <c r="G50" s="52"/>
      <c r="H50" s="109"/>
    </row>
    <row r="51" spans="1:8" ht="15" customHeight="1" x14ac:dyDescent="0.25">
      <c r="A51" s="57"/>
      <c r="B51" s="57"/>
      <c r="C51" s="57"/>
      <c r="D51" s="57"/>
      <c r="E51" s="57"/>
      <c r="F51" s="57"/>
      <c r="G51" s="51"/>
      <c r="H51" s="109"/>
    </row>
    <row r="52" spans="1:8" ht="15" customHeight="1" x14ac:dyDescent="0.25">
      <c r="A52" s="57" t="s">
        <v>58</v>
      </c>
      <c r="B52" s="57"/>
      <c r="C52" s="57"/>
      <c r="D52" s="57">
        <v>750000</v>
      </c>
      <c r="E52" s="57"/>
      <c r="F52" s="201" t="s">
        <v>169</v>
      </c>
      <c r="G52" s="201" t="s">
        <v>170</v>
      </c>
      <c r="H52" s="109"/>
    </row>
    <row r="53" spans="1:8" ht="15" customHeight="1" x14ac:dyDescent="0.25">
      <c r="A53" s="57" t="s">
        <v>59</v>
      </c>
      <c r="B53" s="57"/>
      <c r="C53" s="57"/>
      <c r="D53" s="57">
        <v>-560000</v>
      </c>
      <c r="E53" s="61"/>
      <c r="F53" s="50" t="s">
        <v>165</v>
      </c>
      <c r="G53" s="50" t="s">
        <v>166</v>
      </c>
      <c r="H53" s="109"/>
    </row>
    <row r="54" spans="1:8" ht="15" customHeight="1" x14ac:dyDescent="0.25">
      <c r="A54" s="57" t="s">
        <v>60</v>
      </c>
      <c r="B54" s="57"/>
      <c r="C54" s="57"/>
      <c r="D54" s="57">
        <v>0</v>
      </c>
      <c r="E54" s="61"/>
      <c r="H54" s="109"/>
    </row>
    <row r="55" spans="1:8" ht="15" customHeight="1" x14ac:dyDescent="0.25">
      <c r="A55" s="57" t="s">
        <v>61</v>
      </c>
      <c r="B55" s="57"/>
      <c r="C55" s="57"/>
      <c r="D55" s="73">
        <f>SUM(D52:D54)</f>
        <v>190000</v>
      </c>
      <c r="E55" s="57"/>
      <c r="F55" s="57"/>
      <c r="G55" s="58"/>
      <c r="H55" s="109"/>
    </row>
    <row r="56" spans="1:8" ht="15" customHeight="1" x14ac:dyDescent="0.25">
      <c r="A56" s="91" t="s">
        <v>82</v>
      </c>
      <c r="B56" s="57"/>
      <c r="D56" s="51">
        <f>-D55*10/16</f>
        <v>-118750</v>
      </c>
      <c r="E56" s="61" t="s">
        <v>100</v>
      </c>
      <c r="F56" s="137"/>
      <c r="G56" s="142"/>
      <c r="H56" s="111"/>
    </row>
    <row r="57" spans="1:8" ht="15" customHeight="1" x14ac:dyDescent="0.25">
      <c r="A57" s="57"/>
      <c r="B57" s="57"/>
      <c r="C57" s="57"/>
      <c r="D57" s="118">
        <f>+D55+D56</f>
        <v>71250</v>
      </c>
      <c r="E57" s="57"/>
      <c r="F57" s="58"/>
      <c r="H57" s="109"/>
    </row>
    <row r="58" spans="1:8" ht="15" customHeight="1" thickBot="1" x14ac:dyDescent="0.3">
      <c r="A58" s="57" t="s">
        <v>63</v>
      </c>
      <c r="B58" s="57"/>
      <c r="C58" s="57"/>
      <c r="D58" s="175">
        <f>+D57*0.5</f>
        <v>35625</v>
      </c>
      <c r="E58" s="57"/>
      <c r="F58" s="49" t="s">
        <v>167</v>
      </c>
      <c r="H58" s="109">
        <f>+D58</f>
        <v>35625</v>
      </c>
    </row>
    <row r="59" spans="1:8" ht="15" customHeight="1" thickTop="1" x14ac:dyDescent="0.25">
      <c r="A59" s="57"/>
      <c r="B59" s="57"/>
      <c r="C59" s="57"/>
      <c r="D59" s="57"/>
      <c r="E59" s="57"/>
      <c r="F59" s="201" t="s">
        <v>171</v>
      </c>
      <c r="H59" s="109"/>
    </row>
    <row r="60" spans="1:8" ht="15" customHeight="1" x14ac:dyDescent="0.25">
      <c r="A60" s="57"/>
      <c r="B60" s="57"/>
      <c r="C60" s="57"/>
      <c r="D60" s="57"/>
      <c r="E60" s="57"/>
      <c r="F60" s="57"/>
      <c r="H60" s="109"/>
    </row>
    <row r="61" spans="1:8" ht="15" customHeight="1" x14ac:dyDescent="0.25">
      <c r="A61" s="60" t="s">
        <v>101</v>
      </c>
      <c r="B61" s="57"/>
      <c r="C61" s="57"/>
      <c r="D61" s="57"/>
      <c r="E61" s="57"/>
      <c r="F61" s="51"/>
      <c r="G61" s="51"/>
      <c r="H61" s="109"/>
    </row>
    <row r="62" spans="1:8" ht="15" customHeight="1" x14ac:dyDescent="0.25">
      <c r="A62" s="57" t="s">
        <v>58</v>
      </c>
      <c r="B62" s="57"/>
      <c r="C62" s="57"/>
      <c r="D62" s="57">
        <v>445000</v>
      </c>
      <c r="E62" s="57"/>
      <c r="F62" s="55"/>
      <c r="G62" s="55"/>
      <c r="H62" s="44"/>
    </row>
    <row r="63" spans="1:8" ht="15" customHeight="1" x14ac:dyDescent="0.25">
      <c r="A63" s="57" t="s">
        <v>59</v>
      </c>
      <c r="B63" s="57"/>
      <c r="C63" s="57"/>
      <c r="D63" s="174">
        <f>-E75</f>
        <v>-417800</v>
      </c>
      <c r="E63" s="61"/>
      <c r="F63" s="55"/>
      <c r="G63" s="55"/>
      <c r="H63" s="44"/>
    </row>
    <row r="64" spans="1:8" ht="15" customHeight="1" x14ac:dyDescent="0.25">
      <c r="A64" s="57" t="s">
        <v>60</v>
      </c>
      <c r="B64" s="57"/>
      <c r="C64" s="57"/>
      <c r="D64" s="92">
        <v>0</v>
      </c>
      <c r="E64" s="57"/>
      <c r="F64" s="55"/>
      <c r="G64" s="55"/>
      <c r="H64" s="44"/>
    </row>
    <row r="65" spans="1:8" ht="15" customHeight="1" x14ac:dyDescent="0.25">
      <c r="A65" s="57"/>
      <c r="B65" s="57"/>
      <c r="C65" s="57"/>
      <c r="D65" s="57">
        <f>+D62+D63</f>
        <v>27200</v>
      </c>
      <c r="E65" s="57"/>
      <c r="F65" s="55"/>
      <c r="G65" s="55"/>
      <c r="H65" s="44"/>
    </row>
    <row r="66" spans="1:8" ht="15" customHeight="1" x14ac:dyDescent="0.25">
      <c r="A66" s="57" t="s">
        <v>85</v>
      </c>
      <c r="B66" s="57"/>
      <c r="C66" s="57"/>
      <c r="D66" s="57">
        <v>0</v>
      </c>
      <c r="E66" s="57"/>
      <c r="F66" s="55"/>
      <c r="G66" s="90"/>
      <c r="H66" s="44"/>
    </row>
    <row r="67" spans="1:8" ht="15" customHeight="1" x14ac:dyDescent="0.25">
      <c r="A67" s="57" t="s">
        <v>86</v>
      </c>
      <c r="B67" s="57"/>
      <c r="C67" s="57"/>
      <c r="D67" s="107">
        <f>-D65*300000/D62</f>
        <v>-18337.078651685395</v>
      </c>
      <c r="E67" s="105" t="s">
        <v>62</v>
      </c>
      <c r="F67" s="93"/>
      <c r="G67" s="103"/>
      <c r="H67" s="44"/>
    </row>
    <row r="68" spans="1:8" ht="15" customHeight="1" x14ac:dyDescent="0.25">
      <c r="A68" s="57"/>
      <c r="B68" s="57"/>
      <c r="C68" s="57"/>
      <c r="D68" s="57"/>
      <c r="E68" s="106" t="s">
        <v>106</v>
      </c>
      <c r="F68" s="93"/>
      <c r="G68" s="103"/>
      <c r="H68" s="44"/>
    </row>
    <row r="69" spans="1:8" ht="15" customHeight="1" x14ac:dyDescent="0.25">
      <c r="A69" s="57" t="s">
        <v>61</v>
      </c>
      <c r="B69" s="57"/>
      <c r="C69" s="57"/>
      <c r="D69" s="73">
        <f>SUM(D65:D68)</f>
        <v>8862.921348314605</v>
      </c>
      <c r="E69" s="106" t="s">
        <v>83</v>
      </c>
      <c r="F69" s="93"/>
      <c r="G69" s="103"/>
      <c r="H69" s="44"/>
    </row>
    <row r="70" spans="1:8" ht="15" customHeight="1" thickBot="1" x14ac:dyDescent="0.3">
      <c r="A70" s="57" t="s">
        <v>63</v>
      </c>
      <c r="B70" s="57"/>
      <c r="C70" s="57"/>
      <c r="D70" s="75">
        <f>+D69/2</f>
        <v>4431.4606741573025</v>
      </c>
      <c r="E70" s="105" t="s">
        <v>107</v>
      </c>
      <c r="F70" s="104"/>
      <c r="G70" s="103"/>
      <c r="H70" s="109">
        <f>+D70</f>
        <v>4431.4606741573025</v>
      </c>
    </row>
    <row r="71" spans="1:8" ht="15" customHeight="1" thickTop="1" x14ac:dyDescent="0.25">
      <c r="A71" s="57"/>
      <c r="B71" s="57"/>
      <c r="C71" s="57"/>
      <c r="D71" s="57"/>
      <c r="E71" s="57"/>
      <c r="F71" s="51"/>
      <c r="G71" s="55"/>
      <c r="H71" s="109"/>
    </row>
    <row r="72" spans="1:8" ht="15" customHeight="1" x14ac:dyDescent="0.25">
      <c r="A72" s="57" t="s">
        <v>102</v>
      </c>
      <c r="B72" s="57"/>
      <c r="C72" s="57"/>
      <c r="D72" s="57"/>
      <c r="E72" s="57"/>
      <c r="F72" s="51"/>
      <c r="G72" s="55"/>
      <c r="H72" s="109"/>
    </row>
    <row r="73" spans="1:8" ht="15" customHeight="1" x14ac:dyDescent="0.25">
      <c r="A73" s="57" t="s">
        <v>103</v>
      </c>
      <c r="B73" s="57"/>
      <c r="C73" s="57"/>
      <c r="D73" s="57"/>
      <c r="E73" s="57">
        <v>415000</v>
      </c>
      <c r="F73" s="51"/>
      <c r="G73" s="55"/>
      <c r="H73" s="109"/>
    </row>
    <row r="74" spans="1:8" ht="15" customHeight="1" x14ac:dyDescent="0.25">
      <c r="A74" s="57" t="s">
        <v>105</v>
      </c>
      <c r="B74" s="57"/>
      <c r="C74" s="57"/>
      <c r="D74" s="57"/>
      <c r="E74" s="57">
        <f>560*5</f>
        <v>2800</v>
      </c>
      <c r="F74" s="66" t="s">
        <v>104</v>
      </c>
      <c r="G74" s="55"/>
      <c r="H74" s="109"/>
    </row>
    <row r="75" spans="1:8" ht="16.5" thickBot="1" x14ac:dyDescent="0.3">
      <c r="A75" s="76"/>
      <c r="B75" s="76"/>
      <c r="C75" s="76"/>
      <c r="D75" s="76"/>
      <c r="E75" s="173">
        <f>+E73+E74</f>
        <v>417800</v>
      </c>
      <c r="F75" s="76"/>
      <c r="G75" s="76"/>
      <c r="H75" s="112"/>
    </row>
    <row r="76" spans="1:8" ht="15" customHeight="1" thickTop="1" x14ac:dyDescent="0.25">
      <c r="A76" s="76"/>
      <c r="B76" s="76"/>
      <c r="C76" s="76"/>
      <c r="D76" s="76"/>
      <c r="E76" s="76"/>
      <c r="F76" s="76"/>
      <c r="G76" s="76"/>
      <c r="H76" s="113"/>
    </row>
    <row r="77" spans="1:8" ht="15" customHeight="1" x14ac:dyDescent="0.25">
      <c r="A77" s="60" t="s">
        <v>84</v>
      </c>
      <c r="B77" s="57"/>
      <c r="C77" s="57"/>
      <c r="D77" s="57"/>
      <c r="E77" s="57"/>
      <c r="H77" s="109"/>
    </row>
    <row r="78" spans="1:8" ht="15" customHeight="1" x14ac:dyDescent="0.25">
      <c r="A78" s="57"/>
      <c r="B78" s="57"/>
      <c r="C78" s="57"/>
      <c r="D78" s="57"/>
      <c r="E78" s="77" t="s">
        <v>114</v>
      </c>
      <c r="F78" s="147" t="s">
        <v>120</v>
      </c>
      <c r="G78" s="57"/>
      <c r="H78" s="111"/>
    </row>
    <row r="79" spans="1:8" ht="15" customHeight="1" x14ac:dyDescent="0.25">
      <c r="A79" s="57" t="s">
        <v>58</v>
      </c>
      <c r="B79" s="57"/>
      <c r="C79" s="57"/>
      <c r="D79" s="57"/>
      <c r="E79" s="57">
        <f>1000*60</f>
        <v>60000</v>
      </c>
      <c r="F79" s="77" t="s">
        <v>70</v>
      </c>
      <c r="G79" s="95" t="s">
        <v>69</v>
      </c>
      <c r="H79" s="111"/>
    </row>
    <row r="80" spans="1:8" ht="15" customHeight="1" x14ac:dyDescent="0.25">
      <c r="A80" s="61" t="s">
        <v>71</v>
      </c>
      <c r="B80" s="57"/>
      <c r="C80" s="57"/>
      <c r="D80" s="57"/>
      <c r="E80" s="57"/>
      <c r="F80" s="96">
        <f>+G80*1.365</f>
        <v>16653</v>
      </c>
      <c r="G80" s="97">
        <v>12200</v>
      </c>
      <c r="H80" s="111"/>
    </row>
    <row r="81" spans="1:8" ht="15" customHeight="1" x14ac:dyDescent="0.25">
      <c r="A81" s="61" t="s">
        <v>59</v>
      </c>
      <c r="B81" s="57"/>
      <c r="C81" s="57"/>
      <c r="D81" s="57"/>
      <c r="E81" s="57">
        <f>-(1000*57.5)-25</f>
        <v>-57525</v>
      </c>
      <c r="F81" s="58"/>
      <c r="H81" s="111"/>
    </row>
    <row r="82" spans="1:8" ht="15" customHeight="1" x14ac:dyDescent="0.25">
      <c r="A82" s="61" t="s">
        <v>72</v>
      </c>
      <c r="B82" s="57"/>
      <c r="C82" s="57"/>
      <c r="D82" s="57"/>
      <c r="F82" s="148">
        <f>-G82*0.99</f>
        <v>-9900</v>
      </c>
      <c r="G82" s="149">
        <v>10000</v>
      </c>
      <c r="H82" s="111"/>
    </row>
    <row r="83" spans="1:8" ht="15" customHeight="1" x14ac:dyDescent="0.25">
      <c r="A83" s="61" t="s">
        <v>124</v>
      </c>
      <c r="B83" s="57"/>
      <c r="C83" s="57"/>
      <c r="D83" s="57"/>
      <c r="E83" s="74" t="s">
        <v>73</v>
      </c>
      <c r="F83" s="58">
        <v>-25</v>
      </c>
      <c r="H83" s="111"/>
    </row>
    <row r="84" spans="1:8" ht="15" customHeight="1" x14ac:dyDescent="0.25">
      <c r="A84" s="57" t="s">
        <v>121</v>
      </c>
      <c r="B84" s="57"/>
      <c r="C84" s="57"/>
      <c r="D84" s="57"/>
      <c r="E84" s="57">
        <v>-25</v>
      </c>
      <c r="F84" s="58">
        <f>+E84</f>
        <v>-25</v>
      </c>
      <c r="H84" s="111"/>
    </row>
    <row r="85" spans="1:8" ht="15" customHeight="1" x14ac:dyDescent="0.25">
      <c r="A85" s="57" t="s">
        <v>61</v>
      </c>
      <c r="B85" s="57"/>
      <c r="C85" s="57"/>
      <c r="D85" s="57"/>
      <c r="E85" s="73">
        <f>SUM(E79:E84)</f>
        <v>2450</v>
      </c>
      <c r="F85" s="73">
        <f>SUM(F80:F84)</f>
        <v>6703</v>
      </c>
      <c r="H85" s="111"/>
    </row>
    <row r="86" spans="1:8" ht="15" customHeight="1" thickBot="1" x14ac:dyDescent="0.3">
      <c r="A86" s="57" t="s">
        <v>63</v>
      </c>
      <c r="B86" s="57"/>
      <c r="C86" s="57"/>
      <c r="D86" s="57"/>
      <c r="E86" s="75">
        <f>+E85/2</f>
        <v>1225</v>
      </c>
      <c r="F86" s="75">
        <f>+F85/2</f>
        <v>3351.5</v>
      </c>
      <c r="H86" s="109">
        <f>SUM(E86:F86)</f>
        <v>4576.5</v>
      </c>
    </row>
    <row r="87" spans="1:8" ht="15" customHeight="1" thickTop="1" x14ac:dyDescent="0.25">
      <c r="A87" s="57"/>
      <c r="B87" s="57"/>
      <c r="C87" s="57"/>
      <c r="D87" s="57"/>
      <c r="E87" s="57"/>
      <c r="F87" s="57"/>
      <c r="G87" s="57"/>
      <c r="H87" s="109"/>
    </row>
    <row r="88" spans="1:8" ht="15" customHeight="1" x14ac:dyDescent="0.25">
      <c r="A88" s="99" t="s">
        <v>123</v>
      </c>
      <c r="B88" s="100"/>
      <c r="C88" s="98"/>
      <c r="D88" s="96"/>
      <c r="E88" s="96"/>
      <c r="F88" s="57"/>
      <c r="G88" s="57"/>
      <c r="H88" s="109"/>
    </row>
    <row r="89" spans="1:8" ht="15" customHeight="1" x14ac:dyDescent="0.25">
      <c r="A89" s="150" t="s">
        <v>122</v>
      </c>
      <c r="B89" s="148"/>
      <c r="C89" s="148"/>
      <c r="D89" s="148"/>
      <c r="E89" s="148"/>
      <c r="F89" s="57"/>
      <c r="G89" s="57"/>
      <c r="H89" s="109"/>
    </row>
    <row r="90" spans="1:8" ht="15" customHeight="1" x14ac:dyDescent="0.25">
      <c r="A90" s="57"/>
      <c r="B90" s="57"/>
      <c r="C90" s="57"/>
      <c r="D90" s="57"/>
      <c r="E90" s="57"/>
      <c r="F90" s="57"/>
      <c r="G90" s="57"/>
      <c r="H90" s="109"/>
    </row>
    <row r="91" spans="1:8" ht="15" customHeight="1" x14ac:dyDescent="0.25">
      <c r="A91" s="57"/>
      <c r="B91" s="57"/>
      <c r="C91" s="57"/>
      <c r="D91" s="57"/>
      <c r="E91" s="57"/>
      <c r="F91" s="57"/>
      <c r="G91" s="57"/>
      <c r="H91" s="109"/>
    </row>
    <row r="92" spans="1:8" ht="15" customHeight="1" x14ac:dyDescent="0.25">
      <c r="A92" s="60" t="s">
        <v>108</v>
      </c>
      <c r="B92" s="57"/>
      <c r="C92" s="57"/>
      <c r="D92" s="57"/>
      <c r="E92" s="57"/>
      <c r="F92" s="57"/>
      <c r="G92" s="57"/>
      <c r="H92" s="109"/>
    </row>
    <row r="93" spans="1:8" ht="15" customHeight="1" x14ac:dyDescent="0.25">
      <c r="A93" s="57" t="s">
        <v>58</v>
      </c>
      <c r="B93" s="57"/>
      <c r="C93" s="57"/>
      <c r="D93" s="57"/>
      <c r="E93" s="57">
        <v>45000</v>
      </c>
      <c r="G93" s="57"/>
      <c r="H93" s="109"/>
    </row>
    <row r="94" spans="1:8" ht="15" customHeight="1" x14ac:dyDescent="0.25">
      <c r="A94" s="57" t="s">
        <v>59</v>
      </c>
      <c r="B94" s="57"/>
      <c r="C94" s="57"/>
      <c r="D94" s="57"/>
      <c r="E94" s="57">
        <v>-44000</v>
      </c>
      <c r="G94" s="57"/>
      <c r="H94" s="109"/>
    </row>
    <row r="95" spans="1:8" ht="15" customHeight="1" x14ac:dyDescent="0.25">
      <c r="A95" s="57" t="s">
        <v>60</v>
      </c>
      <c r="B95" s="57"/>
      <c r="C95" s="57"/>
      <c r="D95" s="57"/>
      <c r="E95" s="57">
        <v>0</v>
      </c>
      <c r="G95" s="57"/>
      <c r="H95" s="109"/>
    </row>
    <row r="96" spans="1:8" ht="15" customHeight="1" x14ac:dyDescent="0.25">
      <c r="A96" s="57" t="s">
        <v>61</v>
      </c>
      <c r="B96" s="57"/>
      <c r="C96" s="57"/>
      <c r="D96" s="57"/>
      <c r="E96" s="73">
        <f>SUM(E93:E95)</f>
        <v>1000</v>
      </c>
      <c r="G96" s="57"/>
      <c r="H96" s="109"/>
    </row>
    <row r="97" spans="1:8" ht="15" customHeight="1" thickBot="1" x14ac:dyDescent="0.3">
      <c r="A97" s="57" t="s">
        <v>63</v>
      </c>
      <c r="B97" s="57"/>
      <c r="C97" s="57"/>
      <c r="D97" s="57"/>
      <c r="E97" s="75">
        <f>+E96/2</f>
        <v>500</v>
      </c>
      <c r="F97" s="61" t="s">
        <v>110</v>
      </c>
      <c r="G97" s="57"/>
      <c r="H97" s="109">
        <f>+E97</f>
        <v>500</v>
      </c>
    </row>
    <row r="98" spans="1:8" ht="15" customHeight="1" thickTop="1" x14ac:dyDescent="0.25">
      <c r="A98" s="57"/>
      <c r="B98" s="57"/>
      <c r="C98" s="57"/>
      <c r="D98" s="57"/>
      <c r="E98" s="51"/>
      <c r="G98" s="57"/>
      <c r="H98" s="109"/>
    </row>
    <row r="99" spans="1:8" ht="15" customHeight="1" x14ac:dyDescent="0.25">
      <c r="A99" s="57"/>
      <c r="B99" s="57"/>
      <c r="C99" s="57"/>
      <c r="D99" s="57"/>
      <c r="E99" s="51"/>
      <c r="G99" s="57"/>
      <c r="H99" s="109"/>
    </row>
    <row r="100" spans="1:8" ht="15" customHeight="1" x14ac:dyDescent="0.25">
      <c r="A100" s="60" t="s">
        <v>111</v>
      </c>
      <c r="B100" s="57"/>
      <c r="C100" s="57"/>
      <c r="D100" s="57"/>
      <c r="E100" s="57"/>
      <c r="F100" s="51"/>
      <c r="G100" s="51"/>
      <c r="H100" s="109"/>
    </row>
    <row r="101" spans="1:8" ht="15" customHeight="1" x14ac:dyDescent="0.25">
      <c r="A101" s="57" t="s">
        <v>58</v>
      </c>
      <c r="B101" s="57"/>
      <c r="C101" s="57"/>
      <c r="D101" s="57">
        <v>1250000</v>
      </c>
      <c r="E101" s="57"/>
      <c r="F101" s="55"/>
      <c r="G101" s="55"/>
      <c r="H101" s="109"/>
    </row>
    <row r="102" spans="1:8" ht="15" customHeight="1" x14ac:dyDescent="0.25">
      <c r="A102" s="57" t="s">
        <v>59</v>
      </c>
      <c r="B102" s="57"/>
      <c r="C102" s="57"/>
      <c r="D102" s="101">
        <f>-1000000*1.15</f>
        <v>-1150000</v>
      </c>
      <c r="E102" s="102" t="s">
        <v>112</v>
      </c>
      <c r="F102" s="143"/>
      <c r="G102" s="143"/>
      <c r="H102" s="109"/>
    </row>
    <row r="103" spans="1:8" ht="15" customHeight="1" x14ac:dyDescent="0.25">
      <c r="A103" s="57" t="s">
        <v>60</v>
      </c>
      <c r="B103" s="57"/>
      <c r="C103" s="57"/>
      <c r="D103" s="92">
        <v>0</v>
      </c>
      <c r="E103" s="102" t="s">
        <v>113</v>
      </c>
      <c r="F103" s="143"/>
      <c r="G103" s="143"/>
      <c r="H103" s="109"/>
    </row>
    <row r="104" spans="1:8" ht="15" customHeight="1" x14ac:dyDescent="0.25">
      <c r="A104" s="57" t="s">
        <v>61</v>
      </c>
      <c r="B104" s="57"/>
      <c r="C104" s="57"/>
      <c r="D104" s="73">
        <f>+D101+D102</f>
        <v>100000</v>
      </c>
      <c r="E104" s="144" t="s">
        <v>144</v>
      </c>
      <c r="F104" s="145"/>
      <c r="G104" s="143"/>
      <c r="H104" s="109"/>
    </row>
    <row r="105" spans="1:8" ht="15" customHeight="1" thickBot="1" x14ac:dyDescent="0.3">
      <c r="A105" s="57" t="s">
        <v>63</v>
      </c>
      <c r="B105" s="57"/>
      <c r="C105" s="57"/>
      <c r="D105" s="75">
        <f>+D104/2</f>
        <v>50000</v>
      </c>
      <c r="E105" s="144" t="s">
        <v>145</v>
      </c>
      <c r="F105" s="145"/>
      <c r="G105" s="143"/>
      <c r="H105" s="109">
        <f>+D105</f>
        <v>50000</v>
      </c>
    </row>
    <row r="106" spans="1:8" ht="15" customHeight="1" thickTop="1" x14ac:dyDescent="0.25">
      <c r="A106" s="57"/>
      <c r="B106" s="57"/>
      <c r="C106" s="57"/>
      <c r="D106" s="51"/>
      <c r="E106" s="51"/>
      <c r="F106" s="51"/>
      <c r="G106" s="55"/>
      <c r="H106" s="109"/>
    </row>
    <row r="107" spans="1:8" ht="15" customHeight="1" x14ac:dyDescent="0.25">
      <c r="A107" s="162" t="s">
        <v>130</v>
      </c>
      <c r="B107" s="163"/>
      <c r="C107" s="163"/>
      <c r="D107" s="163"/>
      <c r="E107" s="163"/>
      <c r="F107" s="153"/>
      <c r="G107" s="154"/>
      <c r="H107" s="155"/>
    </row>
    <row r="108" spans="1:8" ht="15" customHeight="1" x14ac:dyDescent="0.25">
      <c r="A108" s="202" t="s">
        <v>172</v>
      </c>
      <c r="B108" s="165"/>
      <c r="C108" s="165"/>
      <c r="D108" s="165"/>
      <c r="E108" s="165"/>
      <c r="F108" s="156"/>
      <c r="G108" s="157"/>
      <c r="H108" s="158"/>
    </row>
    <row r="109" spans="1:8" ht="15" customHeight="1" x14ac:dyDescent="0.25">
      <c r="A109" s="164" t="s">
        <v>146</v>
      </c>
      <c r="B109" s="165"/>
      <c r="C109" s="166"/>
      <c r="D109" s="165">
        <v>990000</v>
      </c>
      <c r="E109" s="165"/>
      <c r="F109" s="156"/>
      <c r="G109" s="157"/>
      <c r="H109" s="158"/>
    </row>
    <row r="110" spans="1:8" ht="15" customHeight="1" x14ac:dyDescent="0.25">
      <c r="A110" s="164" t="s">
        <v>131</v>
      </c>
      <c r="B110" s="165"/>
      <c r="C110" s="166"/>
      <c r="D110" s="165"/>
      <c r="E110" s="165"/>
      <c r="F110" s="156"/>
      <c r="G110" s="157"/>
      <c r="H110" s="158"/>
    </row>
    <row r="111" spans="1:8" ht="15" customHeight="1" x14ac:dyDescent="0.25">
      <c r="A111" s="164" t="s">
        <v>132</v>
      </c>
      <c r="B111" s="102">
        <f>-D102</f>
        <v>1150000</v>
      </c>
      <c r="C111" s="166" t="s">
        <v>142</v>
      </c>
      <c r="D111" s="165">
        <f>-B111</f>
        <v>-1150000</v>
      </c>
      <c r="E111" s="165"/>
      <c r="F111" s="156"/>
      <c r="G111" s="157"/>
      <c r="H111" s="158"/>
    </row>
    <row r="112" spans="1:8" ht="15" customHeight="1" x14ac:dyDescent="0.25">
      <c r="A112" s="164" t="s">
        <v>133</v>
      </c>
      <c r="B112" s="165">
        <f>+D101</f>
        <v>1250000</v>
      </c>
      <c r="C112" s="166"/>
      <c r="D112" s="165"/>
      <c r="E112" s="165"/>
      <c r="F112" s="156"/>
      <c r="G112" s="157"/>
      <c r="H112" s="158"/>
    </row>
    <row r="113" spans="1:8" ht="15" customHeight="1" x14ac:dyDescent="0.25">
      <c r="A113" s="167" t="s">
        <v>134</v>
      </c>
      <c r="B113" s="168"/>
      <c r="C113" s="169"/>
      <c r="D113" s="170">
        <f>+SUM(D109:D112)</f>
        <v>-160000</v>
      </c>
      <c r="E113" s="171"/>
      <c r="F113" s="159"/>
      <c r="G113" s="160"/>
      <c r="H113" s="161" t="s">
        <v>135</v>
      </c>
    </row>
    <row r="114" spans="1:8" ht="15" customHeight="1" x14ac:dyDescent="0.25">
      <c r="A114" s="57"/>
      <c r="B114" s="57"/>
      <c r="C114" s="57"/>
      <c r="D114" s="51"/>
      <c r="E114" s="51"/>
      <c r="F114" s="51"/>
      <c r="G114" s="55"/>
      <c r="H114" s="109"/>
    </row>
    <row r="115" spans="1:8" ht="15" customHeight="1" x14ac:dyDescent="0.25">
      <c r="A115" s="57"/>
      <c r="B115" s="57"/>
      <c r="C115" s="57"/>
      <c r="D115" s="57"/>
      <c r="E115" s="51"/>
      <c r="G115" s="57"/>
      <c r="H115" s="109"/>
    </row>
    <row r="116" spans="1:8" ht="15" customHeight="1" x14ac:dyDescent="0.25">
      <c r="A116" s="57"/>
      <c r="B116" s="57"/>
      <c r="C116" s="57"/>
      <c r="D116" s="57"/>
      <c r="E116" s="57"/>
      <c r="F116" s="57"/>
      <c r="G116" s="57"/>
      <c r="H116" s="140">
        <f>SUM(H35:H115)</f>
        <v>95132.960674157308</v>
      </c>
    </row>
    <row r="117" spans="1:8" ht="15" customHeight="1" x14ac:dyDescent="0.25">
      <c r="A117" s="188" t="s">
        <v>64</v>
      </c>
      <c r="B117" s="189"/>
      <c r="C117" s="189"/>
      <c r="D117" s="189"/>
      <c r="E117" s="189"/>
      <c r="F117" s="189"/>
      <c r="G117" s="189"/>
      <c r="H117" s="190"/>
    </row>
    <row r="118" spans="1:8" ht="15" customHeight="1" x14ac:dyDescent="0.25">
      <c r="A118" s="79"/>
      <c r="B118" s="79"/>
      <c r="C118" s="79"/>
      <c r="D118" s="79"/>
      <c r="E118" s="79"/>
      <c r="F118" s="79"/>
      <c r="G118" s="79"/>
      <c r="H118" s="115"/>
    </row>
    <row r="119" spans="1:8" ht="15" customHeight="1" x14ac:dyDescent="0.25">
      <c r="A119" s="60" t="s">
        <v>138</v>
      </c>
      <c r="B119" s="57"/>
      <c r="C119" s="57"/>
      <c r="D119" s="57"/>
      <c r="E119" s="57"/>
      <c r="F119" s="57"/>
      <c r="G119" s="61"/>
      <c r="H119" s="111"/>
    </row>
    <row r="120" spans="1:8" ht="15" customHeight="1" x14ac:dyDescent="0.25">
      <c r="A120" s="57" t="s">
        <v>58</v>
      </c>
      <c r="B120" s="57"/>
      <c r="C120" s="57"/>
      <c r="D120" s="57"/>
      <c r="E120" s="57">
        <v>1300</v>
      </c>
      <c r="F120" s="61"/>
      <c r="H120" s="111"/>
    </row>
    <row r="121" spans="1:8" ht="15" customHeight="1" x14ac:dyDescent="0.25">
      <c r="A121" s="57" t="s">
        <v>59</v>
      </c>
      <c r="B121" s="57"/>
      <c r="C121" s="57"/>
      <c r="D121" s="57"/>
      <c r="E121" s="57">
        <v>-1000</v>
      </c>
      <c r="F121" s="61" t="s">
        <v>109</v>
      </c>
      <c r="H121" s="111"/>
    </row>
    <row r="122" spans="1:8" ht="15" customHeight="1" x14ac:dyDescent="0.25">
      <c r="A122" s="57" t="s">
        <v>60</v>
      </c>
      <c r="B122" s="57"/>
      <c r="C122" s="57"/>
      <c r="D122" s="57"/>
      <c r="E122" s="57">
        <v>0</v>
      </c>
      <c r="F122" s="61"/>
      <c r="H122" s="111"/>
    </row>
    <row r="123" spans="1:8" ht="15" customHeight="1" x14ac:dyDescent="0.25">
      <c r="A123" s="57" t="s">
        <v>61</v>
      </c>
      <c r="B123" s="57"/>
      <c r="C123" s="57"/>
      <c r="D123" s="57"/>
      <c r="E123" s="73">
        <f>SUM(E120:E122)</f>
        <v>300</v>
      </c>
      <c r="F123" s="61"/>
      <c r="H123" s="111"/>
    </row>
    <row r="124" spans="1:8" ht="15" customHeight="1" thickBot="1" x14ac:dyDescent="0.3">
      <c r="A124" s="57" t="s">
        <v>63</v>
      </c>
      <c r="B124" s="57"/>
      <c r="C124" s="57"/>
      <c r="D124" s="57"/>
      <c r="E124" s="75">
        <f>+E123/2</f>
        <v>150</v>
      </c>
      <c r="F124" s="61" t="s">
        <v>67</v>
      </c>
      <c r="H124" s="109">
        <f>+E124</f>
        <v>150</v>
      </c>
    </row>
    <row r="125" spans="1:8" ht="15" customHeight="1" thickTop="1" x14ac:dyDescent="0.25">
      <c r="A125" s="57"/>
      <c r="B125" s="79"/>
      <c r="C125" s="79"/>
      <c r="D125" s="79"/>
      <c r="E125" s="79"/>
      <c r="F125" s="79"/>
      <c r="G125" s="57"/>
      <c r="H125" s="116"/>
    </row>
    <row r="126" spans="1:8" ht="15" customHeight="1" x14ac:dyDescent="0.25">
      <c r="A126" s="56"/>
      <c r="B126" s="57"/>
      <c r="C126" s="57"/>
      <c r="D126" s="57"/>
      <c r="E126" s="57"/>
      <c r="F126" s="57"/>
      <c r="G126" s="57"/>
      <c r="H126" s="140">
        <f>+H124</f>
        <v>150</v>
      </c>
    </row>
    <row r="127" spans="1:8" ht="15" customHeight="1" x14ac:dyDescent="0.25">
      <c r="A127" s="188" t="s">
        <v>68</v>
      </c>
      <c r="B127" s="189"/>
      <c r="C127" s="189"/>
      <c r="D127" s="189"/>
      <c r="E127" s="189"/>
      <c r="F127" s="189"/>
      <c r="G127" s="189"/>
      <c r="H127" s="190"/>
    </row>
    <row r="128" spans="1:8" ht="15" customHeight="1" x14ac:dyDescent="0.25">
      <c r="A128" s="79"/>
      <c r="B128" s="79"/>
      <c r="C128" s="79"/>
      <c r="D128" s="79"/>
      <c r="E128" s="79"/>
      <c r="F128" s="79"/>
      <c r="G128" s="79"/>
      <c r="H128" s="115"/>
    </row>
    <row r="129" spans="1:8" ht="15" customHeight="1" x14ac:dyDescent="0.25">
      <c r="A129" s="57"/>
      <c r="B129" s="57"/>
      <c r="C129" s="57"/>
      <c r="D129" s="57"/>
      <c r="E129" s="57"/>
      <c r="F129" s="57"/>
      <c r="G129" s="57"/>
      <c r="H129" s="116"/>
    </row>
    <row r="130" spans="1:8" ht="15" customHeight="1" x14ac:dyDescent="0.25">
      <c r="A130" s="60" t="s">
        <v>84</v>
      </c>
      <c r="B130" s="57"/>
      <c r="C130" s="57"/>
      <c r="D130" s="57"/>
      <c r="G130" s="57"/>
      <c r="H130" s="116"/>
    </row>
    <row r="131" spans="1:8" ht="15" customHeight="1" x14ac:dyDescent="0.25">
      <c r="B131" s="57"/>
      <c r="C131" s="57"/>
      <c r="D131" s="57"/>
      <c r="E131" s="77" t="s">
        <v>115</v>
      </c>
      <c r="F131" s="77" t="s">
        <v>125</v>
      </c>
      <c r="G131" s="21"/>
      <c r="H131" s="116"/>
    </row>
    <row r="132" spans="1:8" ht="15" customHeight="1" x14ac:dyDescent="0.25">
      <c r="A132" s="57" t="s">
        <v>58</v>
      </c>
      <c r="B132" s="57"/>
      <c r="C132" s="57"/>
      <c r="E132" s="58">
        <v>8550</v>
      </c>
      <c r="F132" s="58">
        <v>15000</v>
      </c>
      <c r="G132" s="95"/>
      <c r="H132" s="44"/>
    </row>
    <row r="133" spans="1:8" ht="15" customHeight="1" x14ac:dyDescent="0.25">
      <c r="A133" s="57" t="s">
        <v>59</v>
      </c>
      <c r="B133" s="57"/>
      <c r="C133" s="57"/>
      <c r="D133" s="80"/>
      <c r="E133" s="94">
        <f>-E142</f>
        <v>-26525</v>
      </c>
      <c r="F133" s="152">
        <f>-G147</f>
        <v>-16420</v>
      </c>
      <c r="G133" s="57"/>
      <c r="H133" s="117"/>
    </row>
    <row r="134" spans="1:8" ht="15" customHeight="1" x14ac:dyDescent="0.25">
      <c r="A134" s="57" t="s">
        <v>121</v>
      </c>
      <c r="B134" s="57"/>
      <c r="C134" s="57"/>
      <c r="D134" s="57"/>
      <c r="E134" s="57">
        <v>-25</v>
      </c>
      <c r="F134" s="57">
        <f>+E134</f>
        <v>-25</v>
      </c>
      <c r="H134" s="116"/>
    </row>
    <row r="135" spans="1:8" ht="15" customHeight="1" x14ac:dyDescent="0.25">
      <c r="A135" s="57" t="s">
        <v>65</v>
      </c>
      <c r="B135" s="57"/>
      <c r="C135" s="57"/>
      <c r="D135" s="57"/>
      <c r="E135" s="73">
        <f>SUM(E132:E134)</f>
        <v>-18000</v>
      </c>
      <c r="F135" s="73">
        <f>SUM(F132:F134)</f>
        <v>-1445</v>
      </c>
      <c r="H135" s="116"/>
    </row>
    <row r="136" spans="1:8" ht="15" customHeight="1" thickBot="1" x14ac:dyDescent="0.3">
      <c r="A136" s="57" t="s">
        <v>66</v>
      </c>
      <c r="B136" s="57"/>
      <c r="C136" s="57"/>
      <c r="D136" s="57"/>
      <c r="E136" s="75">
        <f>+E135/2</f>
        <v>-9000</v>
      </c>
      <c r="F136" s="75">
        <f>+F135/2</f>
        <v>-722.5</v>
      </c>
      <c r="H136" s="109">
        <f>SUM(E136:F136)</f>
        <v>-9722.5</v>
      </c>
    </row>
    <row r="137" spans="1:8" ht="15" customHeight="1" thickTop="1" x14ac:dyDescent="0.25">
      <c r="A137" s="57"/>
      <c r="B137" s="57"/>
      <c r="C137" s="57"/>
      <c r="D137" s="57"/>
      <c r="E137" s="57"/>
      <c r="F137" s="51"/>
      <c r="H137" s="109"/>
    </row>
    <row r="138" spans="1:8" ht="15" customHeight="1" x14ac:dyDescent="0.25">
      <c r="A138" s="57" t="s">
        <v>116</v>
      </c>
      <c r="B138" s="57"/>
      <c r="C138" s="57"/>
      <c r="D138" s="57"/>
      <c r="E138" s="57"/>
      <c r="F138" s="57"/>
      <c r="H138" s="109"/>
    </row>
    <row r="139" spans="1:8" ht="15" customHeight="1" x14ac:dyDescent="0.25">
      <c r="A139" s="57" t="s">
        <v>141</v>
      </c>
      <c r="B139" s="57"/>
      <c r="C139" s="57"/>
      <c r="D139" s="57"/>
      <c r="E139" s="57">
        <f>500*5</f>
        <v>2500</v>
      </c>
      <c r="F139" s="61" t="s">
        <v>118</v>
      </c>
      <c r="H139" s="109"/>
    </row>
    <row r="140" spans="1:8" ht="15" customHeight="1" x14ac:dyDescent="0.25">
      <c r="A140" s="57" t="s">
        <v>117</v>
      </c>
      <c r="B140" s="57"/>
      <c r="C140" s="57"/>
      <c r="D140" s="57"/>
      <c r="E140" s="57">
        <v>25</v>
      </c>
      <c r="F140" s="61"/>
      <c r="H140" s="109"/>
    </row>
    <row r="141" spans="1:8" ht="15" customHeight="1" x14ac:dyDescent="0.25">
      <c r="A141" s="57" t="s">
        <v>147</v>
      </c>
      <c r="B141" s="57"/>
      <c r="C141" s="57"/>
      <c r="D141" s="57"/>
      <c r="E141" s="57">
        <f>500*48</f>
        <v>24000</v>
      </c>
      <c r="F141" s="61" t="s">
        <v>119</v>
      </c>
      <c r="H141" s="109"/>
    </row>
    <row r="142" spans="1:8" ht="15" customHeight="1" thickBot="1" x14ac:dyDescent="0.3">
      <c r="A142" s="139"/>
      <c r="B142" s="139"/>
      <c r="C142" s="139"/>
      <c r="D142" s="139"/>
      <c r="E142" s="146">
        <f>SUM(E139:E141)</f>
        <v>26525</v>
      </c>
      <c r="F142" s="57"/>
      <c r="H142" s="109"/>
    </row>
    <row r="143" spans="1:8" ht="15" customHeight="1" thickTop="1" x14ac:dyDescent="0.25">
      <c r="A143" s="57"/>
      <c r="B143" s="57"/>
      <c r="C143" s="57"/>
      <c r="D143" s="57"/>
      <c r="E143" s="57"/>
      <c r="F143" s="51"/>
      <c r="H143" s="109"/>
    </row>
    <row r="144" spans="1:8" ht="15" customHeight="1" x14ac:dyDescent="0.25">
      <c r="A144" s="57" t="s">
        <v>126</v>
      </c>
      <c r="B144" s="57"/>
      <c r="C144" s="57"/>
      <c r="D144" s="57"/>
      <c r="E144" s="57"/>
      <c r="F144" s="57"/>
      <c r="G144" s="59"/>
      <c r="H144" s="109"/>
    </row>
    <row r="145" spans="1:8" ht="15" customHeight="1" x14ac:dyDescent="0.25">
      <c r="A145" s="57" t="s">
        <v>127</v>
      </c>
      <c r="B145" s="57"/>
      <c r="C145" s="57"/>
      <c r="D145" s="57"/>
      <c r="E145" s="78"/>
      <c r="F145" s="78">
        <f>+(6000+25+5150+25+9300+25)/1000</f>
        <v>20.524999999999999</v>
      </c>
      <c r="G145" s="14" t="s">
        <v>129</v>
      </c>
      <c r="H145" s="109"/>
    </row>
    <row r="146" spans="1:8" ht="15" customHeight="1" x14ac:dyDescent="0.25">
      <c r="A146" s="57"/>
      <c r="B146" s="57"/>
      <c r="C146" s="57"/>
      <c r="D146" s="57"/>
      <c r="E146" s="57"/>
      <c r="F146" s="57" t="s">
        <v>128</v>
      </c>
      <c r="H146" s="109"/>
    </row>
    <row r="147" spans="1:8" ht="15" customHeight="1" x14ac:dyDescent="0.25">
      <c r="A147" s="57"/>
      <c r="B147" s="57"/>
      <c r="C147" s="57"/>
      <c r="D147" s="57"/>
      <c r="E147" s="57"/>
      <c r="G147" s="151">
        <f>+F145*800</f>
        <v>16420</v>
      </c>
      <c r="H147" s="114"/>
    </row>
    <row r="148" spans="1:8" ht="15" customHeight="1" x14ac:dyDescent="0.25">
      <c r="A148" s="57"/>
      <c r="B148" s="57"/>
      <c r="C148" s="57"/>
      <c r="D148" s="57"/>
      <c r="E148" s="57"/>
      <c r="F148" s="57"/>
      <c r="G148" s="57"/>
      <c r="H148" s="140">
        <f>SUM(H128:H147)</f>
        <v>-9722.5</v>
      </c>
    </row>
    <row r="149" spans="1:8" ht="15" customHeight="1" x14ac:dyDescent="0.25">
      <c r="A149" s="188" t="s">
        <v>74</v>
      </c>
      <c r="B149" s="189"/>
      <c r="C149" s="189"/>
      <c r="D149" s="189"/>
      <c r="E149" s="189"/>
      <c r="F149" s="189"/>
      <c r="G149" s="189"/>
      <c r="H149" s="190"/>
    </row>
    <row r="150" spans="1:8" ht="15" customHeight="1" x14ac:dyDescent="0.25">
      <c r="A150" s="119"/>
      <c r="B150" s="119"/>
      <c r="C150" s="119"/>
      <c r="D150" s="119"/>
      <c r="E150" s="119"/>
      <c r="F150" s="119"/>
      <c r="G150" s="119"/>
      <c r="H150" s="120"/>
    </row>
    <row r="151" spans="1:8" ht="15" customHeight="1" x14ac:dyDescent="0.25">
      <c r="A151" s="119"/>
      <c r="B151" s="119"/>
      <c r="C151" s="119"/>
      <c r="D151" s="119"/>
      <c r="E151" s="119"/>
      <c r="F151" s="119"/>
      <c r="G151" s="119"/>
      <c r="H151" s="140">
        <v>0</v>
      </c>
    </row>
    <row r="152" spans="1:8" ht="15" customHeight="1" x14ac:dyDescent="0.25">
      <c r="A152" s="57"/>
      <c r="B152" s="57"/>
      <c r="C152" s="57"/>
      <c r="D152" s="57"/>
      <c r="E152" s="57"/>
      <c r="F152" s="61"/>
    </row>
  </sheetData>
  <mergeCells count="4">
    <mergeCell ref="A149:H149"/>
    <mergeCell ref="A34:H34"/>
    <mergeCell ref="A117:H117"/>
    <mergeCell ref="A127:H127"/>
  </mergeCells>
  <pageMargins left="0.98425196850393704" right="0.98425196850393704" top="0.98425196850393704" bottom="0.98425196850393704" header="0.51181102362204722" footer="0.51181102362204722"/>
  <pageSetup scale="83" fitToHeight="0" orientation="portrait" r:id="rId1"/>
  <headerFooter alignWithMargins="0"/>
  <rowBreaks count="3" manualBreakCount="3">
    <brk id="31" max="7" man="1"/>
    <brk id="76" max="7" man="1"/>
    <brk id="126" max="7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FC49-8BF2-43E5-A8B4-42D13C020194}">
  <sheetPr>
    <tabColor theme="0" tint="-0.499984740745262"/>
    <pageSetUpPr fitToPage="1"/>
  </sheetPr>
  <dimension ref="A2:C8"/>
  <sheetViews>
    <sheetView zoomScale="205" zoomScaleNormal="205" workbookViewId="0"/>
  </sheetViews>
  <sheetFormatPr baseColWidth="10" defaultRowHeight="15" customHeight="1" x14ac:dyDescent="0.25"/>
  <cols>
    <col min="1" max="1" width="18.77734375" style="1" bestFit="1" customWidth="1"/>
    <col min="2" max="2" width="9.88671875" style="179" customWidth="1"/>
    <col min="3" max="3" width="9.88671875" style="1" customWidth="1"/>
    <col min="4" max="16384" width="11.5546875" style="1"/>
  </cols>
  <sheetData>
    <row r="2" spans="1:3" ht="47.25" x14ac:dyDescent="0.25">
      <c r="B2" s="176" t="s">
        <v>151</v>
      </c>
      <c r="C2" s="176" t="s">
        <v>148</v>
      </c>
    </row>
    <row r="3" spans="1:3" ht="15" customHeight="1" x14ac:dyDescent="0.25">
      <c r="A3" s="177" t="s">
        <v>154</v>
      </c>
      <c r="B3" s="178">
        <f>+Solution!G8+Solution!G14+Solution!G15</f>
        <v>281180</v>
      </c>
      <c r="C3" s="191"/>
    </row>
    <row r="4" spans="1:3" ht="15" customHeight="1" x14ac:dyDescent="0.25">
      <c r="A4" s="177" t="s">
        <v>155</v>
      </c>
      <c r="B4" s="186">
        <f>+Solution!G11</f>
        <v>160000</v>
      </c>
      <c r="C4" s="193"/>
    </row>
    <row r="5" spans="1:3" ht="15" customHeight="1" x14ac:dyDescent="0.25">
      <c r="A5" s="177" t="s">
        <v>153</v>
      </c>
      <c r="B5" s="191"/>
      <c r="C5" s="186">
        <v>50000</v>
      </c>
    </row>
    <row r="6" spans="1:3" ht="15" customHeight="1" x14ac:dyDescent="0.25">
      <c r="A6" s="177" t="s">
        <v>149</v>
      </c>
      <c r="B6" s="192"/>
      <c r="C6" s="178">
        <v>4431</v>
      </c>
    </row>
    <row r="7" spans="1:3" ht="15" customHeight="1" x14ac:dyDescent="0.25">
      <c r="A7" s="177" t="s">
        <v>150</v>
      </c>
      <c r="B7" s="192"/>
      <c r="C7" s="178">
        <v>500</v>
      </c>
    </row>
    <row r="8" spans="1:3" ht="15" customHeight="1" x14ac:dyDescent="0.25">
      <c r="A8" s="177" t="s">
        <v>152</v>
      </c>
      <c r="B8" s="193"/>
      <c r="C8" s="178">
        <v>150</v>
      </c>
    </row>
  </sheetData>
  <mergeCells count="2">
    <mergeCell ref="B5:B8"/>
    <mergeCell ref="C3:C4"/>
  </mergeCells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623D0-94DE-4854-A8EE-7112F586B16C}">
  <sheetPr>
    <tabColor theme="0" tint="-0.499984740745262"/>
    <pageSetUpPr fitToPage="1"/>
  </sheetPr>
  <dimension ref="A2:B7"/>
  <sheetViews>
    <sheetView zoomScale="235" zoomScaleNormal="235" workbookViewId="0"/>
  </sheetViews>
  <sheetFormatPr baseColWidth="10" defaultRowHeight="15" customHeight="1" x14ac:dyDescent="0.25"/>
  <cols>
    <col min="1" max="1" width="18.77734375" style="1" bestFit="1" customWidth="1"/>
    <col min="2" max="2" width="9.88671875" style="1" customWidth="1"/>
    <col min="3" max="16384" width="11.5546875" style="1"/>
  </cols>
  <sheetData>
    <row r="2" spans="1:2" ht="15.75" x14ac:dyDescent="0.25">
      <c r="B2" s="176" t="s">
        <v>148</v>
      </c>
    </row>
    <row r="3" spans="1:2" ht="15" customHeight="1" x14ac:dyDescent="0.25">
      <c r="A3" s="177" t="s">
        <v>93</v>
      </c>
      <c r="B3" s="178">
        <v>35625</v>
      </c>
    </row>
    <row r="4" spans="1:2" ht="15" customHeight="1" x14ac:dyDescent="0.25">
      <c r="A4" s="177" t="s">
        <v>114</v>
      </c>
      <c r="B4" s="178">
        <v>1225</v>
      </c>
    </row>
    <row r="5" spans="1:2" ht="15" customHeight="1" x14ac:dyDescent="0.25">
      <c r="A5" s="177" t="s">
        <v>120</v>
      </c>
      <c r="B5" s="178">
        <v>3352</v>
      </c>
    </row>
    <row r="6" spans="1:2" ht="15" customHeight="1" x14ac:dyDescent="0.25">
      <c r="A6" s="177" t="s">
        <v>115</v>
      </c>
      <c r="B6" s="178">
        <v>-9000</v>
      </c>
    </row>
    <row r="7" spans="1:2" ht="15" customHeight="1" x14ac:dyDescent="0.25">
      <c r="A7" s="177" t="s">
        <v>125</v>
      </c>
      <c r="B7" s="178">
        <v>-723</v>
      </c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194" t="s">
        <v>23</v>
      </c>
      <c r="B36" s="194"/>
      <c r="C36" s="194"/>
      <c r="D36" s="194"/>
      <c r="E36" s="194"/>
      <c r="F36" s="2"/>
    </row>
    <row r="37" spans="1:6" ht="15.75" x14ac:dyDescent="0.25">
      <c r="A37" s="194"/>
      <c r="B37" s="194"/>
      <c r="C37" s="194"/>
      <c r="D37" s="194"/>
      <c r="E37" s="194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4" ma:contentTypeDescription="Crée un document." ma:contentTypeScope="" ma:versionID="6ebb50cb9208cbe8a7850f36b952d5ae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34654ff2e2e90009dc918346c88ec5ff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272B2-8906-4EE4-9605-3ECE6E56D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FDEF4-4C61-46F0-8763-8C6B0BB7E46A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fb6b5eda-5c64-413a-b0f8-523ccac12f5c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a741cbf7-6fd3-431e-a913-08346dcfe6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5087EF2-D259-4A07-99DD-E39F0C63BB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Solution</vt:lpstr>
      <vt:lpstr>En classe (p.1)</vt:lpstr>
      <vt:lpstr>En classe (p.2)</vt:lpstr>
      <vt:lpstr>Solution-H2019</vt:lpstr>
      <vt:lpstr>'En classe (p.1)'!Zone_d_impression</vt:lpstr>
      <vt:lpstr>'En classe (p.2)'!Zone_d_impression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2026-02-25T14:30:29Z</cp:lastPrinted>
  <dcterms:created xsi:type="dcterms:W3CDTF">2005-07-05T19:14:21Z</dcterms:created>
  <dcterms:modified xsi:type="dcterms:W3CDTF">2026-02-25T14:31:22Z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